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llen/Dropbox/BBB 5 GETTING IT DONE/BBB Getting it Done Corporate/bbb clients/PHENOMENAL PRODUCTS/2018_EVENT_IC_PFB_POD_Event/"/>
    </mc:Choice>
  </mc:AlternateContent>
  <xr:revisionPtr revIDLastSave="0" documentId="8_{D66072B3-8F65-BF42-8082-54977283805C}" xr6:coauthVersionLast="28" xr6:coauthVersionMax="28" xr10:uidLastSave="{00000000-0000-0000-0000-000000000000}"/>
  <bookViews>
    <workbookView xWindow="360" yWindow="460" windowWidth="28800" windowHeight="16620" tabRatio="876" xr2:uid="{00000000-000D-0000-FFFF-FFFF00000000}"/>
  </bookViews>
  <sheets>
    <sheet name="May 27,2018" sheetId="315" r:id="rId1"/>
    <sheet name="DV-IDENTITY-0" sheetId="32" state="veryHidden" r:id="rId2"/>
  </sheets>
  <definedNames>
    <definedName name="a" localSheetId="0">#REF!</definedName>
    <definedName name="a">#REF!</definedName>
    <definedName name="_xlnm.Print_Area" localSheetId="0">'May 27,2018'!$A$2:$X$40</definedName>
    <definedName name="_xlnm.Print_Area">#REF!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315" l="1"/>
  <c r="T8" i="315"/>
  <c r="T10" i="315"/>
  <c r="V24" i="315" s="1"/>
  <c r="T19" i="315"/>
  <c r="V19" i="315" s="1"/>
  <c r="T18" i="315"/>
  <c r="V18" i="315"/>
  <c r="T17" i="315"/>
  <c r="V17" i="315" s="1"/>
  <c r="T16" i="315"/>
  <c r="V16" i="315"/>
  <c r="T15" i="315"/>
  <c r="V15" i="315" s="1"/>
  <c r="T14" i="315"/>
  <c r="V14" i="315"/>
  <c r="T13" i="315"/>
  <c r="V13" i="315" s="1"/>
  <c r="O10" i="315"/>
  <c r="Q17" i="315" s="1"/>
  <c r="Q19" i="315"/>
  <c r="Q18" i="315"/>
  <c r="Q16" i="315"/>
  <c r="Q15" i="315"/>
  <c r="Q14" i="315"/>
  <c r="I10" i="315"/>
  <c r="K17" i="315" s="1"/>
  <c r="K19" i="315"/>
  <c r="K18" i="315"/>
  <c r="K16" i="315"/>
  <c r="K15" i="315"/>
  <c r="K14" i="315"/>
  <c r="C10" i="315"/>
  <c r="E17" i="315" s="1"/>
  <c r="E19" i="315"/>
  <c r="E18" i="315"/>
  <c r="E16" i="315"/>
  <c r="E15" i="315"/>
  <c r="E14" i="315"/>
  <c r="T24" i="315"/>
  <c r="C35" i="315"/>
  <c r="C37" i="315" s="1"/>
  <c r="K24" i="315"/>
  <c r="O21" i="315"/>
  <c r="Q21" i="315" s="1"/>
  <c r="I21" i="315"/>
  <c r="K21" i="315"/>
  <c r="C21" i="315"/>
  <c r="E21" i="315" s="1"/>
  <c r="Q24" i="315"/>
  <c r="K8" i="315"/>
  <c r="V7" i="315"/>
  <c r="K7" i="315"/>
  <c r="K10" i="315" s="1"/>
  <c r="Q7" i="315"/>
  <c r="Q8" i="315"/>
  <c r="C30" i="315"/>
  <c r="E7" i="315"/>
  <c r="E10" i="315" s="1"/>
  <c r="O30" i="315"/>
  <c r="V8" i="315"/>
  <c r="V10" i="315"/>
  <c r="E24" i="315"/>
  <c r="E8" i="315"/>
  <c r="Q10" i="315"/>
  <c r="A115" i="32"/>
  <c r="B115" i="32"/>
  <c r="C115" i="32"/>
  <c r="D115" i="32"/>
  <c r="E115" i="32"/>
  <c r="F115" i="32"/>
  <c r="G115" i="32"/>
  <c r="H115" i="32"/>
  <c r="I115" i="32"/>
  <c r="J115" i="32"/>
  <c r="K115" i="32"/>
  <c r="L115" i="32"/>
  <c r="M115" i="32"/>
  <c r="N115" i="32"/>
  <c r="O115" i="32"/>
  <c r="P115" i="32"/>
  <c r="Q115" i="32"/>
  <c r="R115" i="32"/>
  <c r="S115" i="32"/>
  <c r="T115" i="32"/>
  <c r="U115" i="32"/>
  <c r="V115" i="32"/>
  <c r="W115" i="32"/>
  <c r="X115" i="32"/>
  <c r="Y115" i="32"/>
  <c r="Z115" i="32"/>
  <c r="AA115" i="32"/>
  <c r="AB115" i="32"/>
  <c r="AC115" i="32"/>
  <c r="AD115" i="32"/>
  <c r="AE115" i="32"/>
  <c r="AF115" i="32"/>
  <c r="AG115" i="32"/>
  <c r="AH115" i="32"/>
  <c r="AI115" i="32"/>
  <c r="AJ115" i="32"/>
  <c r="AK115" i="32"/>
  <c r="AL115" i="32"/>
  <c r="AM115" i="32"/>
  <c r="AN115" i="32"/>
  <c r="AO115" i="32"/>
  <c r="AP115" i="32"/>
  <c r="AQ115" i="32"/>
  <c r="AR115" i="32"/>
  <c r="AS115" i="32"/>
  <c r="AT115" i="32"/>
  <c r="AU115" i="32"/>
  <c r="AV115" i="32"/>
  <c r="AW115" i="32"/>
  <c r="AX115" i="32"/>
  <c r="AY115" i="32"/>
  <c r="AZ115" i="32"/>
  <c r="BA115" i="32"/>
  <c r="BB115" i="32"/>
  <c r="BC115" i="32"/>
  <c r="BD115" i="32"/>
  <c r="BE115" i="32"/>
  <c r="BF115" i="32"/>
  <c r="BG115" i="32"/>
  <c r="BH115" i="32"/>
  <c r="BI115" i="32"/>
  <c r="BJ115" i="32"/>
  <c r="BK115" i="32"/>
  <c r="BL115" i="32"/>
  <c r="BM115" i="32"/>
  <c r="BN115" i="32"/>
  <c r="BO115" i="32"/>
  <c r="BP115" i="32"/>
  <c r="BQ115" i="32"/>
  <c r="BR115" i="32"/>
  <c r="BS115" i="32"/>
  <c r="BT115" i="32"/>
  <c r="BU115" i="32"/>
  <c r="BV115" i="32"/>
  <c r="BW115" i="32"/>
  <c r="BX115" i="32"/>
  <c r="BY115" i="32"/>
  <c r="BZ115" i="32"/>
  <c r="CA115" i="32"/>
  <c r="CB115" i="32"/>
  <c r="CC115" i="32"/>
  <c r="CD115" i="32"/>
  <c r="CE115" i="32"/>
  <c r="CF115" i="32"/>
  <c r="CG115" i="32"/>
  <c r="CH115" i="32"/>
  <c r="CI115" i="32"/>
  <c r="CJ115" i="32"/>
  <c r="CK115" i="32"/>
  <c r="CL115" i="32"/>
  <c r="CM115" i="32"/>
  <c r="CN115" i="32"/>
  <c r="CO115" i="32"/>
  <c r="CP115" i="32"/>
  <c r="CQ115" i="32"/>
  <c r="CR115" i="32"/>
  <c r="CS115" i="32"/>
  <c r="CT115" i="32"/>
  <c r="CU115" i="32"/>
  <c r="CV115" i="32"/>
  <c r="CW115" i="32"/>
  <c r="CX115" i="32"/>
  <c r="CY115" i="32"/>
  <c r="CZ115" i="32"/>
  <c r="DA115" i="32"/>
  <c r="DB115" i="32"/>
  <c r="DC115" i="32"/>
  <c r="DD115" i="32"/>
  <c r="DE115" i="32"/>
  <c r="DF115" i="32"/>
  <c r="DG115" i="32"/>
  <c r="DH115" i="32"/>
  <c r="DI115" i="32"/>
  <c r="DJ115" i="32"/>
  <c r="DK115" i="32"/>
  <c r="DL115" i="32"/>
  <c r="DM115" i="32"/>
  <c r="DN115" i="32"/>
  <c r="DO115" i="32"/>
  <c r="DP115" i="32"/>
  <c r="DQ115" i="32"/>
  <c r="DR115" i="32"/>
  <c r="DS115" i="32"/>
  <c r="DT115" i="32"/>
  <c r="DU115" i="32"/>
  <c r="DV115" i="32"/>
  <c r="DW115" i="32"/>
  <c r="DX115" i="32"/>
  <c r="DY115" i="32"/>
  <c r="DZ115" i="32"/>
  <c r="EA115" i="32"/>
  <c r="EB115" i="32"/>
  <c r="EC115" i="32"/>
  <c r="ED115" i="32"/>
  <c r="EE115" i="32"/>
  <c r="EF115" i="32"/>
  <c r="EG115" i="32"/>
  <c r="EH115" i="32"/>
  <c r="EI115" i="32"/>
  <c r="EJ115" i="32"/>
  <c r="EK115" i="32"/>
  <c r="EL115" i="32"/>
  <c r="EM115" i="32"/>
  <c r="EN115" i="32"/>
  <c r="EO115" i="32"/>
  <c r="EP115" i="32"/>
  <c r="EQ115" i="32"/>
  <c r="ER115" i="32"/>
  <c r="ES115" i="32"/>
  <c r="ET115" i="32"/>
  <c r="EU115" i="32"/>
  <c r="EV115" i="32"/>
  <c r="EW115" i="32"/>
  <c r="EX115" i="32"/>
  <c r="EY115" i="32"/>
  <c r="EZ115" i="32"/>
  <c r="FA115" i="32"/>
  <c r="FB115" i="32"/>
  <c r="FC115" i="32"/>
  <c r="FD115" i="32"/>
  <c r="FE115" i="32"/>
  <c r="FF115" i="32"/>
  <c r="FG115" i="32"/>
  <c r="FH115" i="32"/>
  <c r="FI115" i="32"/>
  <c r="FJ115" i="32"/>
  <c r="FK115" i="32"/>
  <c r="FL115" i="32"/>
  <c r="FM115" i="32"/>
  <c r="FN115" i="32"/>
  <c r="FO115" i="32"/>
  <c r="FP115" i="32"/>
  <c r="FQ115" i="32"/>
  <c r="FX115" i="32"/>
  <c r="FY115" i="32"/>
  <c r="FZ115" i="32"/>
  <c r="GA115" i="32"/>
  <c r="GB115" i="32"/>
  <c r="GC115" i="32"/>
  <c r="GD115" i="32"/>
  <c r="GE115" i="32"/>
  <c r="GF115" i="32"/>
  <c r="GG115" i="32"/>
  <c r="GH115" i="32"/>
  <c r="GI115" i="32"/>
  <c r="GJ115" i="32"/>
  <c r="GK115" i="32"/>
  <c r="GL115" i="32"/>
  <c r="GM115" i="32"/>
  <c r="GN115" i="32"/>
  <c r="GO115" i="32"/>
  <c r="GP115" i="32"/>
  <c r="GQ115" i="32"/>
  <c r="GR115" i="32"/>
  <c r="GS115" i="32"/>
  <c r="A114" i="32"/>
  <c r="B114" i="32"/>
  <c r="C114" i="32"/>
  <c r="D114" i="32"/>
  <c r="E114" i="32"/>
  <c r="F114" i="32"/>
  <c r="G114" i="32"/>
  <c r="H114" i="32"/>
  <c r="I114" i="32"/>
  <c r="J114" i="32"/>
  <c r="K114" i="32"/>
  <c r="L114" i="32"/>
  <c r="M114" i="32"/>
  <c r="N114" i="32"/>
  <c r="O114" i="32"/>
  <c r="P114" i="32"/>
  <c r="Q114" i="32"/>
  <c r="R114" i="32"/>
  <c r="S114" i="32"/>
  <c r="T114" i="32"/>
  <c r="U114" i="32"/>
  <c r="V114" i="32"/>
  <c r="W114" i="32"/>
  <c r="X114" i="32"/>
  <c r="Y114" i="32"/>
  <c r="Z114" i="32"/>
  <c r="AA114" i="32"/>
  <c r="AB114" i="32"/>
  <c r="AC114" i="32"/>
  <c r="AD114" i="32"/>
  <c r="AE114" i="32"/>
  <c r="AF114" i="32"/>
  <c r="AG114" i="32"/>
  <c r="AH114" i="32"/>
  <c r="AI114" i="32"/>
  <c r="AJ114" i="32"/>
  <c r="AK114" i="32"/>
  <c r="AL114" i="32"/>
  <c r="AM114" i="32"/>
  <c r="AN114" i="32"/>
  <c r="AO114" i="32"/>
  <c r="AP114" i="32"/>
  <c r="AQ114" i="32"/>
  <c r="AR114" i="32"/>
  <c r="AS114" i="32"/>
  <c r="AT114" i="32"/>
  <c r="AU114" i="32"/>
  <c r="AV114" i="32"/>
  <c r="AW114" i="32"/>
  <c r="AX114" i="32"/>
  <c r="AY114" i="32"/>
  <c r="AZ114" i="32"/>
  <c r="BA114" i="32"/>
  <c r="BB114" i="32"/>
  <c r="BC114" i="32"/>
  <c r="BD114" i="32"/>
  <c r="BE114" i="32"/>
  <c r="BF114" i="32"/>
  <c r="BG114" i="32"/>
  <c r="BH114" i="32"/>
  <c r="BI114" i="32"/>
  <c r="BJ114" i="32"/>
  <c r="BK114" i="32"/>
  <c r="BL114" i="32"/>
  <c r="BM114" i="32"/>
  <c r="BN114" i="32"/>
  <c r="BO114" i="32"/>
  <c r="BP114" i="32"/>
  <c r="BQ114" i="32"/>
  <c r="BR114" i="32"/>
  <c r="BS114" i="32"/>
  <c r="BT114" i="32"/>
  <c r="BU114" i="32"/>
  <c r="BV114" i="32"/>
  <c r="BW114" i="32"/>
  <c r="BX114" i="32"/>
  <c r="BY114" i="32"/>
  <c r="BZ114" i="32"/>
  <c r="CA114" i="32"/>
  <c r="CB114" i="32"/>
  <c r="CC114" i="32"/>
  <c r="CD114" i="32"/>
  <c r="CE114" i="32"/>
  <c r="CF114" i="32"/>
  <c r="CG114" i="32"/>
  <c r="CH114" i="32"/>
  <c r="CI114" i="32"/>
  <c r="CJ114" i="32"/>
  <c r="CK114" i="32"/>
  <c r="CL114" i="32"/>
  <c r="CM114" i="32"/>
  <c r="CN114" i="32"/>
  <c r="CO114" i="32"/>
  <c r="CP114" i="32"/>
  <c r="CQ114" i="32"/>
  <c r="CR114" i="32"/>
  <c r="CS114" i="32"/>
  <c r="CT114" i="32"/>
  <c r="CU114" i="32"/>
  <c r="CV114" i="32"/>
  <c r="CW114" i="32"/>
  <c r="CX114" i="32"/>
  <c r="CY114" i="32"/>
  <c r="CZ114" i="32"/>
  <c r="DA114" i="32"/>
  <c r="DB114" i="32"/>
  <c r="DC114" i="32"/>
  <c r="DD114" i="32"/>
  <c r="DE114" i="32"/>
  <c r="DF114" i="32"/>
  <c r="DG114" i="32"/>
  <c r="DH114" i="32"/>
  <c r="DI114" i="32"/>
  <c r="DJ114" i="32"/>
  <c r="DK114" i="32"/>
  <c r="DL114" i="32"/>
  <c r="DM114" i="32"/>
  <c r="DN114" i="32"/>
  <c r="DO114" i="32"/>
  <c r="DP114" i="32"/>
  <c r="DQ114" i="32"/>
  <c r="DR114" i="32"/>
  <c r="DS114" i="32"/>
  <c r="DT114" i="32"/>
  <c r="DU114" i="32"/>
  <c r="DV114" i="32"/>
  <c r="DW114" i="32"/>
  <c r="DX114" i="32"/>
  <c r="DY114" i="32"/>
  <c r="DZ114" i="32"/>
  <c r="EA114" i="32"/>
  <c r="EB114" i="32"/>
  <c r="EC114" i="32"/>
  <c r="ED114" i="32"/>
  <c r="EE114" i="32"/>
  <c r="EF114" i="32"/>
  <c r="EG114" i="32"/>
  <c r="EH114" i="32"/>
  <c r="EI114" i="32"/>
  <c r="EJ114" i="32"/>
  <c r="EK114" i="32"/>
  <c r="EL114" i="32"/>
  <c r="EM114" i="32"/>
  <c r="EN114" i="32"/>
  <c r="EO114" i="32"/>
  <c r="EP114" i="32"/>
  <c r="EQ114" i="32"/>
  <c r="ER114" i="32"/>
  <c r="ES114" i="32"/>
  <c r="ET114" i="32"/>
  <c r="EU114" i="32"/>
  <c r="EV114" i="32"/>
  <c r="EW114" i="32"/>
  <c r="EX114" i="32"/>
  <c r="EY114" i="32"/>
  <c r="EZ114" i="32"/>
  <c r="FA114" i="32"/>
  <c r="FB114" i="32"/>
  <c r="FC114" i="32"/>
  <c r="FD114" i="32"/>
  <c r="FE114" i="32"/>
  <c r="FF114" i="32"/>
  <c r="FG114" i="32"/>
  <c r="FH114" i="32"/>
  <c r="FI114" i="32"/>
  <c r="FJ114" i="32"/>
  <c r="FK114" i="32"/>
  <c r="FL114" i="32"/>
  <c r="FM114" i="32"/>
  <c r="FN114" i="32"/>
  <c r="FO114" i="32"/>
  <c r="FP114" i="32"/>
  <c r="FQ114" i="32"/>
  <c r="FR114" i="32"/>
  <c r="FS114" i="32"/>
  <c r="FT114" i="32"/>
  <c r="FU114" i="32"/>
  <c r="FV114" i="32"/>
  <c r="FW114" i="32"/>
  <c r="FX114" i="32"/>
  <c r="FY114" i="32"/>
  <c r="FZ114" i="32"/>
  <c r="GA114" i="32"/>
  <c r="GB114" i="32"/>
  <c r="GC114" i="32"/>
  <c r="GD114" i="32"/>
  <c r="GE114" i="32"/>
  <c r="GF114" i="32"/>
  <c r="GG114" i="32"/>
  <c r="GH114" i="32"/>
  <c r="GI114" i="32"/>
  <c r="GJ114" i="32"/>
  <c r="GK114" i="32"/>
  <c r="GL114" i="32"/>
  <c r="GM114" i="32"/>
  <c r="GN114" i="32"/>
  <c r="GO114" i="32"/>
  <c r="GP114" i="32"/>
  <c r="GQ114" i="32"/>
  <c r="GR114" i="32"/>
  <c r="GS114" i="32"/>
  <c r="GT114" i="32"/>
  <c r="GU114" i="32"/>
  <c r="GV114" i="32"/>
  <c r="GW114" i="32"/>
  <c r="GX114" i="32"/>
  <c r="GY114" i="32"/>
  <c r="GZ114" i="32"/>
  <c r="HA114" i="32"/>
  <c r="HB114" i="32"/>
  <c r="HC114" i="32"/>
  <c r="HD114" i="32"/>
  <c r="HE114" i="32"/>
  <c r="HF114" i="32"/>
  <c r="HG114" i="32"/>
  <c r="HH114" i="32"/>
  <c r="HI114" i="32"/>
  <c r="HJ114" i="32"/>
  <c r="HK114" i="32"/>
  <c r="HL114" i="32"/>
  <c r="HM114" i="32"/>
  <c r="HN114" i="32"/>
  <c r="HO114" i="32"/>
  <c r="HP114" i="32"/>
  <c r="HQ114" i="32"/>
  <c r="HR114" i="32"/>
  <c r="HS114" i="32"/>
  <c r="HT114" i="32"/>
  <c r="HU114" i="32"/>
  <c r="HV114" i="32"/>
  <c r="HW114" i="32"/>
  <c r="HX114" i="32"/>
  <c r="HY114" i="32"/>
  <c r="HZ114" i="32"/>
  <c r="IA114" i="32"/>
  <c r="IB114" i="32"/>
  <c r="IC114" i="32"/>
  <c r="ID114" i="32"/>
  <c r="IE114" i="32"/>
  <c r="IF114" i="32"/>
  <c r="IG114" i="32"/>
  <c r="IH114" i="32"/>
  <c r="II114" i="32"/>
  <c r="IJ114" i="32"/>
  <c r="IK114" i="32"/>
  <c r="IL114" i="32"/>
  <c r="IM114" i="32"/>
  <c r="IN114" i="32"/>
  <c r="IO114" i="32"/>
  <c r="IP114" i="32"/>
  <c r="IQ114" i="32"/>
  <c r="IR114" i="32"/>
  <c r="IS114" i="32"/>
  <c r="IT114" i="32"/>
  <c r="IU114" i="32"/>
  <c r="IV114" i="32"/>
  <c r="A113" i="32"/>
  <c r="B113" i="32"/>
  <c r="C113" i="32"/>
  <c r="D113" i="32"/>
  <c r="E113" i="32"/>
  <c r="F113" i="32"/>
  <c r="G113" i="32"/>
  <c r="H113" i="32"/>
  <c r="I113" i="32"/>
  <c r="J113" i="32"/>
  <c r="K113" i="32"/>
  <c r="L113" i="32"/>
  <c r="M113" i="32"/>
  <c r="N113" i="32"/>
  <c r="O113" i="32"/>
  <c r="P113" i="32"/>
  <c r="Q113" i="32"/>
  <c r="R113" i="32"/>
  <c r="S113" i="32"/>
  <c r="T113" i="32"/>
  <c r="U113" i="32"/>
  <c r="V113" i="32"/>
  <c r="W113" i="32"/>
  <c r="X113" i="32"/>
  <c r="Y113" i="32"/>
  <c r="Z113" i="32"/>
  <c r="AA113" i="32"/>
  <c r="AB113" i="32"/>
  <c r="AC113" i="32"/>
  <c r="AD113" i="32"/>
  <c r="AE113" i="32"/>
  <c r="AF113" i="32"/>
  <c r="AG113" i="32"/>
  <c r="AH113" i="32"/>
  <c r="AI113" i="32"/>
  <c r="AJ113" i="32"/>
  <c r="AK113" i="32"/>
  <c r="AL113" i="32"/>
  <c r="AM113" i="32"/>
  <c r="AN113" i="32"/>
  <c r="AO113" i="32"/>
  <c r="AP113" i="32"/>
  <c r="AQ113" i="32"/>
  <c r="AR113" i="32"/>
  <c r="AS113" i="32"/>
  <c r="AT113" i="32"/>
  <c r="AU113" i="32"/>
  <c r="AV113" i="32"/>
  <c r="AW113" i="32"/>
  <c r="AX113" i="32"/>
  <c r="AY113" i="32"/>
  <c r="AZ113" i="32"/>
  <c r="BA113" i="32"/>
  <c r="BB113" i="32"/>
  <c r="BC113" i="32"/>
  <c r="BD113" i="32"/>
  <c r="BE113" i="32"/>
  <c r="BF113" i="32"/>
  <c r="BG113" i="32"/>
  <c r="BH113" i="32"/>
  <c r="BI113" i="32"/>
  <c r="BJ113" i="32"/>
  <c r="BK113" i="32"/>
  <c r="BL113" i="32"/>
  <c r="BM113" i="32"/>
  <c r="BN113" i="32"/>
  <c r="BO113" i="32"/>
  <c r="BP113" i="32"/>
  <c r="BQ113" i="32"/>
  <c r="BR113" i="32"/>
  <c r="BS113" i="32"/>
  <c r="BT113" i="32"/>
  <c r="BU113" i="32"/>
  <c r="BV113" i="32"/>
  <c r="BW113" i="32"/>
  <c r="BX113" i="32"/>
  <c r="BY113" i="32"/>
  <c r="BZ113" i="32"/>
  <c r="CA113" i="32"/>
  <c r="CB113" i="32"/>
  <c r="CC113" i="32"/>
  <c r="CD113" i="32"/>
  <c r="CE113" i="32"/>
  <c r="CF113" i="32"/>
  <c r="CG113" i="32"/>
  <c r="CH113" i="32"/>
  <c r="CI113" i="32"/>
  <c r="CJ113" i="32"/>
  <c r="CK113" i="32"/>
  <c r="CL113" i="32"/>
  <c r="CM113" i="32"/>
  <c r="CN113" i="32"/>
  <c r="CO113" i="32"/>
  <c r="CP113" i="32"/>
  <c r="CQ113" i="32"/>
  <c r="CR113" i="32"/>
  <c r="CS113" i="32"/>
  <c r="CT113" i="32"/>
  <c r="CU113" i="32"/>
  <c r="CV113" i="32"/>
  <c r="CW113" i="32"/>
  <c r="CX113" i="32"/>
  <c r="CY113" i="32"/>
  <c r="CZ113" i="32"/>
  <c r="DA113" i="32"/>
  <c r="DB113" i="32"/>
  <c r="DC113" i="32"/>
  <c r="DD113" i="32"/>
  <c r="DE113" i="32"/>
  <c r="DF113" i="32"/>
  <c r="DG113" i="32"/>
  <c r="DH113" i="32"/>
  <c r="DI113" i="32"/>
  <c r="DJ113" i="32"/>
  <c r="DK113" i="32"/>
  <c r="DL113" i="32"/>
  <c r="DM113" i="32"/>
  <c r="DN113" i="32"/>
  <c r="DO113" i="32"/>
  <c r="DP113" i="32"/>
  <c r="DQ113" i="32"/>
  <c r="DR113" i="32"/>
  <c r="DS113" i="32"/>
  <c r="DT113" i="32"/>
  <c r="DU113" i="32"/>
  <c r="DV113" i="32"/>
  <c r="DW113" i="32"/>
  <c r="DX113" i="32"/>
  <c r="DY113" i="32"/>
  <c r="DZ113" i="32"/>
  <c r="EA113" i="32"/>
  <c r="EB113" i="32"/>
  <c r="EC113" i="32"/>
  <c r="ED113" i="32"/>
  <c r="EE113" i="32"/>
  <c r="EF113" i="32"/>
  <c r="EG113" i="32"/>
  <c r="EH113" i="32"/>
  <c r="EI113" i="32"/>
  <c r="EJ113" i="32"/>
  <c r="EK113" i="32"/>
  <c r="EL113" i="32"/>
  <c r="EM113" i="32"/>
  <c r="EN113" i="32"/>
  <c r="EO113" i="32"/>
  <c r="EP113" i="32"/>
  <c r="EQ113" i="32"/>
  <c r="ER113" i="32"/>
  <c r="ES113" i="32"/>
  <c r="ET113" i="32"/>
  <c r="EU113" i="32"/>
  <c r="EV113" i="32"/>
  <c r="EW113" i="32"/>
  <c r="EX113" i="32"/>
  <c r="EY113" i="32"/>
  <c r="EZ113" i="32"/>
  <c r="FA113" i="32"/>
  <c r="FB113" i="32"/>
  <c r="FC113" i="32"/>
  <c r="FD113" i="32"/>
  <c r="FE113" i="32"/>
  <c r="FF113" i="32"/>
  <c r="FG113" i="32"/>
  <c r="FH113" i="32"/>
  <c r="FI113" i="32"/>
  <c r="FJ113" i="32"/>
  <c r="FK113" i="32"/>
  <c r="FL113" i="32"/>
  <c r="FM113" i="32"/>
  <c r="FN113" i="32"/>
  <c r="FO113" i="32"/>
  <c r="FP113" i="32"/>
  <c r="FQ113" i="32"/>
  <c r="FR113" i="32"/>
  <c r="FS113" i="32"/>
  <c r="FT113" i="32"/>
  <c r="FU113" i="32"/>
  <c r="FV113" i="32"/>
  <c r="FW113" i="32"/>
  <c r="FX113" i="32"/>
  <c r="FY113" i="32"/>
  <c r="FZ113" i="32"/>
  <c r="GA113" i="32"/>
  <c r="GB113" i="32"/>
  <c r="GC113" i="32"/>
  <c r="GD113" i="32"/>
  <c r="GE113" i="32"/>
  <c r="GF113" i="32"/>
  <c r="GG113" i="32"/>
  <c r="GH113" i="32"/>
  <c r="GI113" i="32"/>
  <c r="GJ113" i="32"/>
  <c r="GK113" i="32"/>
  <c r="GL113" i="32"/>
  <c r="GM113" i="32"/>
  <c r="GN113" i="32"/>
  <c r="GO113" i="32"/>
  <c r="GP113" i="32"/>
  <c r="GQ113" i="32"/>
  <c r="GR113" i="32"/>
  <c r="GS113" i="32"/>
  <c r="GT113" i="32"/>
  <c r="GU113" i="32"/>
  <c r="GV113" i="32"/>
  <c r="GW113" i="32"/>
  <c r="GX113" i="32"/>
  <c r="GY113" i="32"/>
  <c r="GZ113" i="32"/>
  <c r="HA113" i="32"/>
  <c r="HB113" i="32"/>
  <c r="HC113" i="32"/>
  <c r="HD113" i="32"/>
  <c r="HE113" i="32"/>
  <c r="HF113" i="32"/>
  <c r="HG113" i="32"/>
  <c r="HH113" i="32"/>
  <c r="HI113" i="32"/>
  <c r="HJ113" i="32"/>
  <c r="HK113" i="32"/>
  <c r="HL113" i="32"/>
  <c r="HM113" i="32"/>
  <c r="HN113" i="32"/>
  <c r="HO113" i="32"/>
  <c r="HP113" i="32"/>
  <c r="HQ113" i="32"/>
  <c r="HR113" i="32"/>
  <c r="HS113" i="32"/>
  <c r="HT113" i="32"/>
  <c r="HU113" i="32"/>
  <c r="HV113" i="32"/>
  <c r="HW113" i="32"/>
  <c r="HX113" i="32"/>
  <c r="HY113" i="32"/>
  <c r="HZ113" i="32"/>
  <c r="IA113" i="32"/>
  <c r="IB113" i="32"/>
  <c r="IC113" i="32"/>
  <c r="ID113" i="32"/>
  <c r="IE113" i="32"/>
  <c r="IF113" i="32"/>
  <c r="IG113" i="32"/>
  <c r="IH113" i="32"/>
  <c r="II113" i="32"/>
  <c r="IJ113" i="32"/>
  <c r="IK113" i="32"/>
  <c r="IL113" i="32"/>
  <c r="IM113" i="32"/>
  <c r="IN113" i="32"/>
  <c r="IO113" i="32"/>
  <c r="IP113" i="32"/>
  <c r="IQ113" i="32"/>
  <c r="IR113" i="32"/>
  <c r="IS113" i="32"/>
  <c r="IT113" i="32"/>
  <c r="IU113" i="32"/>
  <c r="IV113" i="32"/>
  <c r="A112" i="32"/>
  <c r="B112" i="32"/>
  <c r="C112" i="32"/>
  <c r="D112" i="32"/>
  <c r="E112" i="32"/>
  <c r="F112" i="32"/>
  <c r="G112" i="32"/>
  <c r="H112" i="32"/>
  <c r="I112" i="32"/>
  <c r="J112" i="32"/>
  <c r="K112" i="32"/>
  <c r="L112" i="32"/>
  <c r="M112" i="32"/>
  <c r="N112" i="32"/>
  <c r="O112" i="32"/>
  <c r="P112" i="32"/>
  <c r="Q112" i="32"/>
  <c r="R112" i="32"/>
  <c r="S112" i="32"/>
  <c r="T112" i="32"/>
  <c r="U112" i="32"/>
  <c r="V112" i="32"/>
  <c r="W112" i="32"/>
  <c r="X112" i="32"/>
  <c r="Y112" i="32"/>
  <c r="Z112" i="32"/>
  <c r="AA112" i="32"/>
  <c r="AB112" i="32"/>
  <c r="AC112" i="32"/>
  <c r="AD112" i="32"/>
  <c r="AE112" i="32"/>
  <c r="AF112" i="32"/>
  <c r="AG112" i="32"/>
  <c r="AH112" i="32"/>
  <c r="AI112" i="32"/>
  <c r="AJ112" i="32"/>
  <c r="AK112" i="32"/>
  <c r="AL112" i="32"/>
  <c r="AM112" i="32"/>
  <c r="AN112" i="32"/>
  <c r="AO112" i="32"/>
  <c r="AP112" i="32"/>
  <c r="AQ112" i="32"/>
  <c r="AR112" i="32"/>
  <c r="AS112" i="32"/>
  <c r="AT112" i="32"/>
  <c r="AU112" i="32"/>
  <c r="AV112" i="32"/>
  <c r="AW112" i="32"/>
  <c r="AX112" i="32"/>
  <c r="AY112" i="32"/>
  <c r="AZ112" i="32"/>
  <c r="BA112" i="32"/>
  <c r="BB112" i="32"/>
  <c r="BC112" i="32"/>
  <c r="BD112" i="32"/>
  <c r="BE112" i="32"/>
  <c r="BF112" i="32"/>
  <c r="BG112" i="32"/>
  <c r="BH112" i="32"/>
  <c r="BI112" i="32"/>
  <c r="BJ112" i="32"/>
  <c r="BK112" i="32"/>
  <c r="BL112" i="32"/>
  <c r="BM112" i="32"/>
  <c r="BN112" i="32"/>
  <c r="BO112" i="32"/>
  <c r="BP112" i="32"/>
  <c r="BQ112" i="32"/>
  <c r="BR112" i="32"/>
  <c r="BS112" i="32"/>
  <c r="BT112" i="32"/>
  <c r="BU112" i="32"/>
  <c r="BV112" i="32"/>
  <c r="BW112" i="32"/>
  <c r="BX112" i="32"/>
  <c r="BY112" i="32"/>
  <c r="BZ112" i="32"/>
  <c r="CA112" i="32"/>
  <c r="CB112" i="32"/>
  <c r="CC112" i="32"/>
  <c r="CD112" i="32"/>
  <c r="CE112" i="32"/>
  <c r="CF112" i="32"/>
  <c r="CG112" i="32"/>
  <c r="CH112" i="32"/>
  <c r="CI112" i="32"/>
  <c r="CJ112" i="32"/>
  <c r="CK112" i="32"/>
  <c r="CL112" i="32"/>
  <c r="CM112" i="32"/>
  <c r="CN112" i="32"/>
  <c r="CO112" i="32"/>
  <c r="CP112" i="32"/>
  <c r="CQ112" i="32"/>
  <c r="CR112" i="32"/>
  <c r="CS112" i="32"/>
  <c r="CT112" i="32"/>
  <c r="CU112" i="32"/>
  <c r="CV112" i="32"/>
  <c r="CW112" i="32"/>
  <c r="CX112" i="32"/>
  <c r="CY112" i="32"/>
  <c r="CZ112" i="32"/>
  <c r="DA112" i="32"/>
  <c r="DB112" i="32"/>
  <c r="DC112" i="32"/>
  <c r="DD112" i="32"/>
  <c r="DE112" i="32"/>
  <c r="DF112" i="32"/>
  <c r="DG112" i="32"/>
  <c r="DH112" i="32"/>
  <c r="DI112" i="32"/>
  <c r="DJ112" i="32"/>
  <c r="DK112" i="32"/>
  <c r="DL112" i="32"/>
  <c r="DM112" i="32"/>
  <c r="DN112" i="32"/>
  <c r="DO112" i="32"/>
  <c r="DP112" i="32"/>
  <c r="DQ112" i="32"/>
  <c r="DR112" i="32"/>
  <c r="DS112" i="32"/>
  <c r="DT112" i="32"/>
  <c r="DU112" i="32"/>
  <c r="DV112" i="32"/>
  <c r="DW112" i="32"/>
  <c r="DX112" i="32"/>
  <c r="DY112" i="32"/>
  <c r="DZ112" i="32"/>
  <c r="EA112" i="32"/>
  <c r="EB112" i="32"/>
  <c r="EC112" i="32"/>
  <c r="ED112" i="32"/>
  <c r="EE112" i="32"/>
  <c r="EF112" i="32"/>
  <c r="EG112" i="32"/>
  <c r="EH112" i="32"/>
  <c r="EI112" i="32"/>
  <c r="EJ112" i="32"/>
  <c r="EK112" i="32"/>
  <c r="EL112" i="32"/>
  <c r="EM112" i="32"/>
  <c r="EN112" i="32"/>
  <c r="EO112" i="32"/>
  <c r="EP112" i="32"/>
  <c r="EQ112" i="32"/>
  <c r="ER112" i="32"/>
  <c r="ES112" i="32"/>
  <c r="ET112" i="32"/>
  <c r="EU112" i="32"/>
  <c r="EV112" i="32"/>
  <c r="EW112" i="32"/>
  <c r="EX112" i="32"/>
  <c r="EY112" i="32"/>
  <c r="EZ112" i="32"/>
  <c r="FA112" i="32"/>
  <c r="FB112" i="32"/>
  <c r="FC112" i="32"/>
  <c r="FD112" i="32"/>
  <c r="FE112" i="32"/>
  <c r="FF112" i="32"/>
  <c r="FG112" i="32"/>
  <c r="FH112" i="32"/>
  <c r="FI112" i="32"/>
  <c r="FJ112" i="32"/>
  <c r="FK112" i="32"/>
  <c r="FL112" i="32"/>
  <c r="FM112" i="32"/>
  <c r="FN112" i="32"/>
  <c r="FO112" i="32"/>
  <c r="FP112" i="32"/>
  <c r="FQ112" i="32"/>
  <c r="FR112" i="32"/>
  <c r="FS112" i="32"/>
  <c r="FT112" i="32"/>
  <c r="FU112" i="32"/>
  <c r="FV112" i="32"/>
  <c r="FW112" i="32"/>
  <c r="FX112" i="32"/>
  <c r="FY112" i="32"/>
  <c r="FZ112" i="32"/>
  <c r="GA112" i="32"/>
  <c r="GB112" i="32"/>
  <c r="GC112" i="32"/>
  <c r="GD112" i="32"/>
  <c r="GE112" i="32"/>
  <c r="GF112" i="32"/>
  <c r="GG112" i="32"/>
  <c r="GH112" i="32"/>
  <c r="GI112" i="32"/>
  <c r="GJ112" i="32"/>
  <c r="GK112" i="32"/>
  <c r="GL112" i="32"/>
  <c r="GM112" i="32"/>
  <c r="GN112" i="32"/>
  <c r="GO112" i="32"/>
  <c r="GP112" i="32"/>
  <c r="GQ112" i="32"/>
  <c r="GR112" i="32"/>
  <c r="GS112" i="32"/>
  <c r="GT112" i="32"/>
  <c r="GU112" i="32"/>
  <c r="GV112" i="32"/>
  <c r="GW112" i="32"/>
  <c r="GX112" i="32"/>
  <c r="GY112" i="32"/>
  <c r="GZ112" i="32"/>
  <c r="HA112" i="32"/>
  <c r="HB112" i="32"/>
  <c r="HC112" i="32"/>
  <c r="HD112" i="32"/>
  <c r="HE112" i="32"/>
  <c r="HF112" i="32"/>
  <c r="HG112" i="32"/>
  <c r="HH112" i="32"/>
  <c r="HI112" i="32"/>
  <c r="HJ112" i="32"/>
  <c r="HK112" i="32"/>
  <c r="HL112" i="32"/>
  <c r="HM112" i="32"/>
  <c r="HN112" i="32"/>
  <c r="HO112" i="32"/>
  <c r="HP112" i="32"/>
  <c r="HQ112" i="32"/>
  <c r="HR112" i="32"/>
  <c r="HS112" i="32"/>
  <c r="HT112" i="32"/>
  <c r="HU112" i="32"/>
  <c r="HV112" i="32"/>
  <c r="HW112" i="32"/>
  <c r="HX112" i="32"/>
  <c r="HY112" i="32"/>
  <c r="HZ112" i="32"/>
  <c r="IA112" i="32"/>
  <c r="IB112" i="32"/>
  <c r="IC112" i="32"/>
  <c r="ID112" i="32"/>
  <c r="IE112" i="32"/>
  <c r="IF112" i="32"/>
  <c r="IG112" i="32"/>
  <c r="IH112" i="32"/>
  <c r="II112" i="32"/>
  <c r="IJ112" i="32"/>
  <c r="IK112" i="32"/>
  <c r="IL112" i="32"/>
  <c r="IM112" i="32"/>
  <c r="IN112" i="32"/>
  <c r="IO112" i="32"/>
  <c r="IP112" i="32"/>
  <c r="IQ112" i="32"/>
  <c r="IR112" i="32"/>
  <c r="IS112" i="32"/>
  <c r="IT112" i="32"/>
  <c r="IU112" i="32"/>
  <c r="IV112" i="32"/>
  <c r="A111" i="32"/>
  <c r="B111" i="32"/>
  <c r="C111" i="32"/>
  <c r="D111" i="32"/>
  <c r="E111" i="32"/>
  <c r="F111" i="32"/>
  <c r="G111" i="32"/>
  <c r="H111" i="32"/>
  <c r="I111" i="32"/>
  <c r="J111" i="32"/>
  <c r="K111" i="32"/>
  <c r="L111" i="32"/>
  <c r="M111" i="32"/>
  <c r="N111" i="32"/>
  <c r="O111" i="32"/>
  <c r="P111" i="32"/>
  <c r="Q111" i="32"/>
  <c r="R111" i="32"/>
  <c r="S111" i="32"/>
  <c r="T111" i="32"/>
  <c r="U111" i="32"/>
  <c r="V111" i="32"/>
  <c r="W111" i="32"/>
  <c r="X111" i="32"/>
  <c r="Y111" i="32"/>
  <c r="Z111" i="32"/>
  <c r="AA111" i="32"/>
  <c r="AB111" i="32"/>
  <c r="AC111" i="32"/>
  <c r="AD111" i="32"/>
  <c r="AE111" i="32"/>
  <c r="AF111" i="32"/>
  <c r="AG111" i="32"/>
  <c r="AH111" i="32"/>
  <c r="AI111" i="32"/>
  <c r="AJ111" i="32"/>
  <c r="AK111" i="32"/>
  <c r="AL111" i="32"/>
  <c r="AM111" i="32"/>
  <c r="AN111" i="32"/>
  <c r="AO111" i="32"/>
  <c r="AP111" i="32"/>
  <c r="AQ111" i="32"/>
  <c r="AR111" i="32"/>
  <c r="AS111" i="32"/>
  <c r="AT111" i="32"/>
  <c r="AU111" i="32"/>
  <c r="AV111" i="32"/>
  <c r="AW111" i="32"/>
  <c r="AX111" i="32"/>
  <c r="AY111" i="32"/>
  <c r="AZ111" i="32"/>
  <c r="BA111" i="32"/>
  <c r="BB111" i="32"/>
  <c r="BC111" i="32"/>
  <c r="BD111" i="32"/>
  <c r="BE111" i="32"/>
  <c r="BF111" i="32"/>
  <c r="BG111" i="32"/>
  <c r="BH111" i="32"/>
  <c r="BI111" i="32"/>
  <c r="BJ111" i="32"/>
  <c r="BK111" i="32"/>
  <c r="BL111" i="32"/>
  <c r="BM111" i="32"/>
  <c r="BN111" i="32"/>
  <c r="BO111" i="32"/>
  <c r="BP111" i="32"/>
  <c r="BQ111" i="32"/>
  <c r="BR111" i="32"/>
  <c r="BS111" i="32"/>
  <c r="BT111" i="32"/>
  <c r="BU111" i="32"/>
  <c r="BV111" i="32"/>
  <c r="BW111" i="32"/>
  <c r="BX111" i="32"/>
  <c r="BY111" i="32"/>
  <c r="BZ111" i="32"/>
  <c r="CA111" i="32"/>
  <c r="CB111" i="32"/>
  <c r="CC111" i="32"/>
  <c r="CD111" i="32"/>
  <c r="CE111" i="32"/>
  <c r="CF111" i="32"/>
  <c r="CG111" i="32"/>
  <c r="CH111" i="32"/>
  <c r="CI111" i="32"/>
  <c r="CJ111" i="32"/>
  <c r="CK111" i="32"/>
  <c r="CL111" i="32"/>
  <c r="CM111" i="32"/>
  <c r="CN111" i="32"/>
  <c r="CO111" i="32"/>
  <c r="CP111" i="32"/>
  <c r="CQ111" i="32"/>
  <c r="CR111" i="32"/>
  <c r="CS111" i="32"/>
  <c r="CT111" i="32"/>
  <c r="CU111" i="32"/>
  <c r="CV111" i="32"/>
  <c r="CW111" i="32"/>
  <c r="CX111" i="32"/>
  <c r="CY111" i="32"/>
  <c r="CZ111" i="32"/>
  <c r="DA111" i="32"/>
  <c r="DB111" i="32"/>
  <c r="DC111" i="32"/>
  <c r="DD111" i="32"/>
  <c r="DE111" i="32"/>
  <c r="DF111" i="32"/>
  <c r="DG111" i="32"/>
  <c r="DH111" i="32"/>
  <c r="DI111" i="32"/>
  <c r="DJ111" i="32"/>
  <c r="DK111" i="32"/>
  <c r="DL111" i="32"/>
  <c r="DM111" i="32"/>
  <c r="DN111" i="32"/>
  <c r="DO111" i="32"/>
  <c r="DP111" i="32"/>
  <c r="DQ111" i="32"/>
  <c r="DR111" i="32"/>
  <c r="DS111" i="32"/>
  <c r="DT111" i="32"/>
  <c r="DU111" i="32"/>
  <c r="DV111" i="32"/>
  <c r="DW111" i="32"/>
  <c r="DX111" i="32"/>
  <c r="DY111" i="32"/>
  <c r="DZ111" i="32"/>
  <c r="EA111" i="32"/>
  <c r="EB111" i="32"/>
  <c r="EC111" i="32"/>
  <c r="ED111" i="32"/>
  <c r="EE111" i="32"/>
  <c r="EF111" i="32"/>
  <c r="EG111" i="32"/>
  <c r="EH111" i="32"/>
  <c r="EI111" i="32"/>
  <c r="EJ111" i="32"/>
  <c r="EK111" i="32"/>
  <c r="EL111" i="32"/>
  <c r="EM111" i="32"/>
  <c r="EN111" i="32"/>
  <c r="EO111" i="32"/>
  <c r="EP111" i="32"/>
  <c r="EQ111" i="32"/>
  <c r="ER111" i="32"/>
  <c r="ES111" i="32"/>
  <c r="ET111" i="32"/>
  <c r="EU111" i="32"/>
  <c r="EV111" i="32"/>
  <c r="EW111" i="32"/>
  <c r="EX111" i="32"/>
  <c r="EY111" i="32"/>
  <c r="EZ111" i="32"/>
  <c r="FA111" i="32"/>
  <c r="FB111" i="32"/>
  <c r="FC111" i="32"/>
  <c r="FD111" i="32"/>
  <c r="FE111" i="32"/>
  <c r="FF111" i="32"/>
  <c r="FG111" i="32"/>
  <c r="FH111" i="32"/>
  <c r="FI111" i="32"/>
  <c r="FJ111" i="32"/>
  <c r="FK111" i="32"/>
  <c r="FL111" i="32"/>
  <c r="FM111" i="32"/>
  <c r="FN111" i="32"/>
  <c r="FO111" i="32"/>
  <c r="FP111" i="32"/>
  <c r="FQ111" i="32"/>
  <c r="FR111" i="32"/>
  <c r="FS111" i="32"/>
  <c r="FT111" i="32"/>
  <c r="FU111" i="32"/>
  <c r="FV111" i="32"/>
  <c r="FW111" i="32"/>
  <c r="FX111" i="32"/>
  <c r="FY111" i="32"/>
  <c r="FZ111" i="32"/>
  <c r="GA111" i="32"/>
  <c r="GB111" i="32"/>
  <c r="GC111" i="32"/>
  <c r="GD111" i="32"/>
  <c r="GE111" i="32"/>
  <c r="GF111" i="32"/>
  <c r="GG111" i="32"/>
  <c r="GH111" i="32"/>
  <c r="GI111" i="32"/>
  <c r="GJ111" i="32"/>
  <c r="GK111" i="32"/>
  <c r="GL111" i="32"/>
  <c r="GM111" i="32"/>
  <c r="GN111" i="32"/>
  <c r="GO111" i="32"/>
  <c r="GP111" i="32"/>
  <c r="GQ111" i="32"/>
  <c r="GR111" i="32"/>
  <c r="GS111" i="32"/>
  <c r="GT111" i="32"/>
  <c r="GU111" i="32"/>
  <c r="GV111" i="32"/>
  <c r="GW111" i="32"/>
  <c r="GX111" i="32"/>
  <c r="GY111" i="32"/>
  <c r="GZ111" i="32"/>
  <c r="HA111" i="32"/>
  <c r="HB111" i="32"/>
  <c r="HC111" i="32"/>
  <c r="HD111" i="32"/>
  <c r="HE111" i="32"/>
  <c r="HF111" i="32"/>
  <c r="HG111" i="32"/>
  <c r="HH111" i="32"/>
  <c r="HI111" i="32"/>
  <c r="HJ111" i="32"/>
  <c r="HK111" i="32"/>
  <c r="HL111" i="32"/>
  <c r="HM111" i="32"/>
  <c r="HN111" i="32"/>
  <c r="HO111" i="32"/>
  <c r="HP111" i="32"/>
  <c r="HQ111" i="32"/>
  <c r="HR111" i="32"/>
  <c r="HS111" i="32"/>
  <c r="HT111" i="32"/>
  <c r="HU111" i="32"/>
  <c r="HV111" i="32"/>
  <c r="HW111" i="32"/>
  <c r="HX111" i="32"/>
  <c r="HY111" i="32"/>
  <c r="HZ111" i="32"/>
  <c r="IA111" i="32"/>
  <c r="IB111" i="32"/>
  <c r="IC111" i="32"/>
  <c r="ID111" i="32"/>
  <c r="IE111" i="32"/>
  <c r="IF111" i="32"/>
  <c r="IG111" i="32"/>
  <c r="IH111" i="32"/>
  <c r="II111" i="32"/>
  <c r="IJ111" i="32"/>
  <c r="IK111" i="32"/>
  <c r="IL111" i="32"/>
  <c r="IM111" i="32"/>
  <c r="IN111" i="32"/>
  <c r="IO111" i="32"/>
  <c r="IP111" i="32"/>
  <c r="IQ111" i="32"/>
  <c r="IR111" i="32"/>
  <c r="IS111" i="32"/>
  <c r="IT111" i="32"/>
  <c r="IU111" i="32"/>
  <c r="IV111" i="32"/>
  <c r="A110" i="32"/>
  <c r="B110" i="32"/>
  <c r="C110" i="32"/>
  <c r="D110" i="32"/>
  <c r="E110" i="32"/>
  <c r="F110" i="32"/>
  <c r="G110" i="32"/>
  <c r="H110" i="32"/>
  <c r="I110" i="32"/>
  <c r="J110" i="32"/>
  <c r="K110" i="32"/>
  <c r="L110" i="32"/>
  <c r="M110" i="32"/>
  <c r="N110" i="32"/>
  <c r="O110" i="32"/>
  <c r="P110" i="32"/>
  <c r="Q110" i="32"/>
  <c r="R110" i="32"/>
  <c r="S110" i="32"/>
  <c r="T110" i="32"/>
  <c r="U110" i="32"/>
  <c r="V110" i="32"/>
  <c r="W110" i="32"/>
  <c r="X110" i="32"/>
  <c r="Y110" i="32"/>
  <c r="Z110" i="32"/>
  <c r="AA110" i="32"/>
  <c r="AB110" i="32"/>
  <c r="AC110" i="32"/>
  <c r="AD110" i="32"/>
  <c r="AE110" i="32"/>
  <c r="AF110" i="32"/>
  <c r="AG110" i="32"/>
  <c r="AH110" i="32"/>
  <c r="AI110" i="32"/>
  <c r="AJ110" i="32"/>
  <c r="AK110" i="32"/>
  <c r="AL110" i="32"/>
  <c r="AM110" i="32"/>
  <c r="AN110" i="32"/>
  <c r="AO110" i="32"/>
  <c r="AP110" i="32"/>
  <c r="AQ110" i="32"/>
  <c r="AR110" i="32"/>
  <c r="AS110" i="32"/>
  <c r="AT110" i="32"/>
  <c r="AU110" i="32"/>
  <c r="AV110" i="32"/>
  <c r="AW110" i="32"/>
  <c r="AX110" i="32"/>
  <c r="AY110" i="32"/>
  <c r="AZ110" i="32"/>
  <c r="BA110" i="32"/>
  <c r="BB110" i="32"/>
  <c r="BC110" i="32"/>
  <c r="BD110" i="32"/>
  <c r="BE110" i="32"/>
  <c r="BF110" i="32"/>
  <c r="BG110" i="32"/>
  <c r="BH110" i="32"/>
  <c r="BI110" i="32"/>
  <c r="BJ110" i="32"/>
  <c r="BK110" i="32"/>
  <c r="BL110" i="32"/>
  <c r="BM110" i="32"/>
  <c r="BN110" i="32"/>
  <c r="BO110" i="32"/>
  <c r="BP110" i="32"/>
  <c r="BQ110" i="32"/>
  <c r="BR110" i="32"/>
  <c r="BS110" i="32"/>
  <c r="BT110" i="32"/>
  <c r="BU110" i="32"/>
  <c r="BV110" i="32"/>
  <c r="BW110" i="32"/>
  <c r="BX110" i="32"/>
  <c r="BY110" i="32"/>
  <c r="BZ110" i="32"/>
  <c r="CA110" i="32"/>
  <c r="CB110" i="32"/>
  <c r="CC110" i="32"/>
  <c r="CD110" i="32"/>
  <c r="CE110" i="32"/>
  <c r="CF110" i="32"/>
  <c r="CG110" i="32"/>
  <c r="CH110" i="32"/>
  <c r="CI110" i="32"/>
  <c r="CJ110" i="32"/>
  <c r="CK110" i="32"/>
  <c r="CL110" i="32"/>
  <c r="CM110" i="32"/>
  <c r="CN110" i="32"/>
  <c r="CO110" i="32"/>
  <c r="CP110" i="32"/>
  <c r="CQ110" i="32"/>
  <c r="CR110" i="32"/>
  <c r="CS110" i="32"/>
  <c r="CT110" i="32"/>
  <c r="CU110" i="32"/>
  <c r="CV110" i="32"/>
  <c r="CW110" i="32"/>
  <c r="CX110" i="32"/>
  <c r="CY110" i="32"/>
  <c r="CZ110" i="32"/>
  <c r="DA110" i="32"/>
  <c r="DB110" i="32"/>
  <c r="DC110" i="32"/>
  <c r="DD110" i="32"/>
  <c r="DE110" i="32"/>
  <c r="DF110" i="32"/>
  <c r="DG110" i="32"/>
  <c r="DH110" i="32"/>
  <c r="DI110" i="32"/>
  <c r="DJ110" i="32"/>
  <c r="DK110" i="32"/>
  <c r="DL110" i="32"/>
  <c r="DM110" i="32"/>
  <c r="DN110" i="32"/>
  <c r="DO110" i="32"/>
  <c r="DP110" i="32"/>
  <c r="DQ110" i="32"/>
  <c r="DR110" i="32"/>
  <c r="DS110" i="32"/>
  <c r="DT110" i="32"/>
  <c r="DU110" i="32"/>
  <c r="DV110" i="32"/>
  <c r="DW110" i="32"/>
  <c r="DX110" i="32"/>
  <c r="DY110" i="32"/>
  <c r="DZ110" i="32"/>
  <c r="EA110" i="32"/>
  <c r="EB110" i="32"/>
  <c r="EC110" i="32"/>
  <c r="ED110" i="32"/>
  <c r="EE110" i="32"/>
  <c r="EF110" i="32"/>
  <c r="EG110" i="32"/>
  <c r="EH110" i="32"/>
  <c r="EI110" i="32"/>
  <c r="EJ110" i="32"/>
  <c r="EK110" i="32"/>
  <c r="EL110" i="32"/>
  <c r="EM110" i="32"/>
  <c r="EN110" i="32"/>
  <c r="EO110" i="32"/>
  <c r="EP110" i="32"/>
  <c r="EQ110" i="32"/>
  <c r="ER110" i="32"/>
  <c r="ES110" i="32"/>
  <c r="ET110" i="32"/>
  <c r="EU110" i="32"/>
  <c r="EV110" i="32"/>
  <c r="EW110" i="32"/>
  <c r="EX110" i="32"/>
  <c r="EY110" i="32"/>
  <c r="EZ110" i="32"/>
  <c r="FA110" i="32"/>
  <c r="FB110" i="32"/>
  <c r="FC110" i="32"/>
  <c r="FD110" i="32"/>
  <c r="FE110" i="32"/>
  <c r="FF110" i="32"/>
  <c r="FG110" i="32"/>
  <c r="FH110" i="32"/>
  <c r="FI110" i="32"/>
  <c r="FJ110" i="32"/>
  <c r="FK110" i="32"/>
  <c r="FL110" i="32"/>
  <c r="FM110" i="32"/>
  <c r="FN110" i="32"/>
  <c r="FO110" i="32"/>
  <c r="FP110" i="32"/>
  <c r="FQ110" i="32"/>
  <c r="FR110" i="32"/>
  <c r="FS110" i="32"/>
  <c r="FT110" i="32"/>
  <c r="FU110" i="32"/>
  <c r="FV110" i="32"/>
  <c r="FW110" i="32"/>
  <c r="FX110" i="32"/>
  <c r="FY110" i="32"/>
  <c r="FZ110" i="32"/>
  <c r="GA110" i="32"/>
  <c r="GB110" i="32"/>
  <c r="GC110" i="32"/>
  <c r="GD110" i="32"/>
  <c r="GE110" i="32"/>
  <c r="GF110" i="32"/>
  <c r="GG110" i="32"/>
  <c r="GH110" i="32"/>
  <c r="GI110" i="32"/>
  <c r="GJ110" i="32"/>
  <c r="GK110" i="32"/>
  <c r="GL110" i="32"/>
  <c r="GM110" i="32"/>
  <c r="GN110" i="32"/>
  <c r="GO110" i="32"/>
  <c r="GP110" i="32"/>
  <c r="GQ110" i="32"/>
  <c r="GR110" i="32"/>
  <c r="GS110" i="32"/>
  <c r="GT110" i="32"/>
  <c r="GU110" i="32"/>
  <c r="GV110" i="32"/>
  <c r="GW110" i="32"/>
  <c r="GX110" i="32"/>
  <c r="GY110" i="32"/>
  <c r="GZ110" i="32"/>
  <c r="HA110" i="32"/>
  <c r="HB110" i="32"/>
  <c r="HC110" i="32"/>
  <c r="HD110" i="32"/>
  <c r="HE110" i="32"/>
  <c r="HF110" i="32"/>
  <c r="HG110" i="32"/>
  <c r="HH110" i="32"/>
  <c r="HI110" i="32"/>
  <c r="HJ110" i="32"/>
  <c r="HK110" i="32"/>
  <c r="HL110" i="32"/>
  <c r="HM110" i="32"/>
  <c r="HN110" i="32"/>
  <c r="HO110" i="32"/>
  <c r="HP110" i="32"/>
  <c r="HQ110" i="32"/>
  <c r="HR110" i="32"/>
  <c r="HS110" i="32"/>
  <c r="HT110" i="32"/>
  <c r="HU110" i="32"/>
  <c r="HV110" i="32"/>
  <c r="HW110" i="32"/>
  <c r="HX110" i="32"/>
  <c r="HY110" i="32"/>
  <c r="HZ110" i="32"/>
  <c r="IA110" i="32"/>
  <c r="IB110" i="32"/>
  <c r="IC110" i="32"/>
  <c r="ID110" i="32"/>
  <c r="IE110" i="32"/>
  <c r="IF110" i="32"/>
  <c r="IG110" i="32"/>
  <c r="IH110" i="32"/>
  <c r="II110" i="32"/>
  <c r="IJ110" i="32"/>
  <c r="IK110" i="32"/>
  <c r="IL110" i="32"/>
  <c r="IM110" i="32"/>
  <c r="IN110" i="32"/>
  <c r="IO110" i="32"/>
  <c r="IP110" i="32"/>
  <c r="IQ110" i="32"/>
  <c r="IR110" i="32"/>
  <c r="IS110" i="32"/>
  <c r="IT110" i="32"/>
  <c r="IU110" i="32"/>
  <c r="IV110" i="32"/>
  <c r="A109" i="32"/>
  <c r="B109" i="32"/>
  <c r="C109" i="32"/>
  <c r="D109" i="32"/>
  <c r="E109" i="32"/>
  <c r="F109" i="32"/>
  <c r="G109" i="32"/>
  <c r="H109" i="32"/>
  <c r="I109" i="32"/>
  <c r="J109" i="32"/>
  <c r="K109" i="32"/>
  <c r="L109" i="32"/>
  <c r="M109" i="32"/>
  <c r="N109" i="32"/>
  <c r="O109" i="32"/>
  <c r="P109" i="32"/>
  <c r="Q109" i="32"/>
  <c r="R109" i="32"/>
  <c r="S109" i="32"/>
  <c r="T109" i="32"/>
  <c r="U109" i="32"/>
  <c r="V109" i="32"/>
  <c r="W109" i="32"/>
  <c r="X109" i="32"/>
  <c r="Y109" i="32"/>
  <c r="Z109" i="32"/>
  <c r="AA109" i="32"/>
  <c r="AB109" i="32"/>
  <c r="AC109" i="32"/>
  <c r="AD109" i="32"/>
  <c r="AE109" i="32"/>
  <c r="AF109" i="32"/>
  <c r="AG109" i="32"/>
  <c r="AH109" i="32"/>
  <c r="AI109" i="32"/>
  <c r="AJ109" i="32"/>
  <c r="AK109" i="32"/>
  <c r="AL109" i="32"/>
  <c r="AM109" i="32"/>
  <c r="AN109" i="32"/>
  <c r="AO109" i="32"/>
  <c r="AP109" i="32"/>
  <c r="AQ109" i="32"/>
  <c r="AR109" i="32"/>
  <c r="AS109" i="32"/>
  <c r="AT109" i="32"/>
  <c r="AU109" i="32"/>
  <c r="AV109" i="32"/>
  <c r="AW109" i="32"/>
  <c r="AX109" i="32"/>
  <c r="AY109" i="32"/>
  <c r="AZ109" i="32"/>
  <c r="BA109" i="32"/>
  <c r="BB109" i="32"/>
  <c r="BC109" i="32"/>
  <c r="BD109" i="32"/>
  <c r="BE109" i="32"/>
  <c r="BF109" i="32"/>
  <c r="BG109" i="32"/>
  <c r="BH109" i="32"/>
  <c r="BI109" i="32"/>
  <c r="BJ109" i="32"/>
  <c r="BK109" i="32"/>
  <c r="BL109" i="32"/>
  <c r="BM109" i="32"/>
  <c r="BN109" i="32"/>
  <c r="BO109" i="32"/>
  <c r="BP109" i="32"/>
  <c r="BQ109" i="32"/>
  <c r="BR109" i="32"/>
  <c r="BS109" i="32"/>
  <c r="BT109" i="32"/>
  <c r="BU109" i="32"/>
  <c r="BV109" i="32"/>
  <c r="BW109" i="32"/>
  <c r="BX109" i="32"/>
  <c r="BY109" i="32"/>
  <c r="BZ109" i="32"/>
  <c r="CA109" i="32"/>
  <c r="CB109" i="32"/>
  <c r="CC109" i="32"/>
  <c r="CD109" i="32"/>
  <c r="CE109" i="32"/>
  <c r="CF109" i="32"/>
  <c r="CG109" i="32"/>
  <c r="CH109" i="32"/>
  <c r="CI109" i="32"/>
  <c r="CJ109" i="32"/>
  <c r="CK109" i="32"/>
  <c r="CL109" i="32"/>
  <c r="CM109" i="32"/>
  <c r="CN109" i="32"/>
  <c r="CO109" i="32"/>
  <c r="CP109" i="32"/>
  <c r="CQ109" i="32"/>
  <c r="CR109" i="32"/>
  <c r="CS109" i="32"/>
  <c r="CT109" i="32"/>
  <c r="CU109" i="32"/>
  <c r="CV109" i="32"/>
  <c r="CW109" i="32"/>
  <c r="CX109" i="32"/>
  <c r="CY109" i="32"/>
  <c r="CZ109" i="32"/>
  <c r="DA109" i="32"/>
  <c r="DB109" i="32"/>
  <c r="DC109" i="32"/>
  <c r="DD109" i="32"/>
  <c r="DE109" i="32"/>
  <c r="DF109" i="32"/>
  <c r="DG109" i="32"/>
  <c r="DH109" i="32"/>
  <c r="DI109" i="32"/>
  <c r="DJ109" i="32"/>
  <c r="DK109" i="32"/>
  <c r="DL109" i="32"/>
  <c r="DM109" i="32"/>
  <c r="DN109" i="32"/>
  <c r="DO109" i="32"/>
  <c r="DP109" i="32"/>
  <c r="DQ109" i="32"/>
  <c r="DR109" i="32"/>
  <c r="DS109" i="32"/>
  <c r="DT109" i="32"/>
  <c r="DU109" i="32"/>
  <c r="DV109" i="32"/>
  <c r="DW109" i="32"/>
  <c r="DX109" i="32"/>
  <c r="DY109" i="32"/>
  <c r="DZ109" i="32"/>
  <c r="EA109" i="32"/>
  <c r="EB109" i="32"/>
  <c r="EC109" i="32"/>
  <c r="ED109" i="32"/>
  <c r="EE109" i="32"/>
  <c r="EF109" i="32"/>
  <c r="EG109" i="32"/>
  <c r="EH109" i="32"/>
  <c r="EI109" i="32"/>
  <c r="EJ109" i="32"/>
  <c r="EK109" i="32"/>
  <c r="EL109" i="32"/>
  <c r="EM109" i="32"/>
  <c r="EN109" i="32"/>
  <c r="EO109" i="32"/>
  <c r="EP109" i="32"/>
  <c r="EQ109" i="32"/>
  <c r="ER109" i="32"/>
  <c r="ES109" i="32"/>
  <c r="ET109" i="32"/>
  <c r="EU109" i="32"/>
  <c r="EV109" i="32"/>
  <c r="EW109" i="32"/>
  <c r="EX109" i="32"/>
  <c r="EY109" i="32"/>
  <c r="EZ109" i="32"/>
  <c r="FA109" i="32"/>
  <c r="FB109" i="32"/>
  <c r="FC109" i="32"/>
  <c r="FD109" i="32"/>
  <c r="FE109" i="32"/>
  <c r="FF109" i="32"/>
  <c r="FG109" i="32"/>
  <c r="FH109" i="32"/>
  <c r="FI109" i="32"/>
  <c r="FJ109" i="32"/>
  <c r="FK109" i="32"/>
  <c r="FL109" i="32"/>
  <c r="FM109" i="32"/>
  <c r="FN109" i="32"/>
  <c r="FO109" i="32"/>
  <c r="FP109" i="32"/>
  <c r="FQ109" i="32"/>
  <c r="FR109" i="32"/>
  <c r="FS109" i="32"/>
  <c r="FT109" i="32"/>
  <c r="FU109" i="32"/>
  <c r="FV109" i="32"/>
  <c r="FW109" i="32"/>
  <c r="FX109" i="32"/>
  <c r="FY109" i="32"/>
  <c r="FZ109" i="32"/>
  <c r="GA109" i="32"/>
  <c r="GB109" i="32"/>
  <c r="GC109" i="32"/>
  <c r="GD109" i="32"/>
  <c r="GE109" i="32"/>
  <c r="GF109" i="32"/>
  <c r="GG109" i="32"/>
  <c r="GH109" i="32"/>
  <c r="GI109" i="32"/>
  <c r="GJ109" i="32"/>
  <c r="GK109" i="32"/>
  <c r="GL109" i="32"/>
  <c r="GM109" i="32"/>
  <c r="GN109" i="32"/>
  <c r="GO109" i="32"/>
  <c r="GP109" i="32"/>
  <c r="GQ109" i="32"/>
  <c r="GR109" i="32"/>
  <c r="GS109" i="32"/>
  <c r="GT109" i="32"/>
  <c r="GU109" i="32"/>
  <c r="GV109" i="32"/>
  <c r="GW109" i="32"/>
  <c r="GX109" i="32"/>
  <c r="GY109" i="32"/>
  <c r="GZ109" i="32"/>
  <c r="HA109" i="32"/>
  <c r="HB109" i="32"/>
  <c r="HC109" i="32"/>
  <c r="HD109" i="32"/>
  <c r="HE109" i="32"/>
  <c r="HF109" i="32"/>
  <c r="HG109" i="32"/>
  <c r="HH109" i="32"/>
  <c r="HI109" i="32"/>
  <c r="HJ109" i="32"/>
  <c r="HK109" i="32"/>
  <c r="HL109" i="32"/>
  <c r="HM109" i="32"/>
  <c r="HN109" i="32"/>
  <c r="HO109" i="32"/>
  <c r="HP109" i="32"/>
  <c r="HQ109" i="32"/>
  <c r="HR109" i="32"/>
  <c r="HS109" i="32"/>
  <c r="HT109" i="32"/>
  <c r="HU109" i="32"/>
  <c r="HV109" i="32"/>
  <c r="HW109" i="32"/>
  <c r="HX109" i="32"/>
  <c r="HY109" i="32"/>
  <c r="HZ109" i="32"/>
  <c r="IA109" i="32"/>
  <c r="IB109" i="32"/>
  <c r="IC109" i="32"/>
  <c r="ID109" i="32"/>
  <c r="IE109" i="32"/>
  <c r="IF109" i="32"/>
  <c r="IG109" i="32"/>
  <c r="IH109" i="32"/>
  <c r="II109" i="32"/>
  <c r="IJ109" i="32"/>
  <c r="IK109" i="32"/>
  <c r="IL109" i="32"/>
  <c r="IM109" i="32"/>
  <c r="IN109" i="32"/>
  <c r="IO109" i="32"/>
  <c r="IP109" i="32"/>
  <c r="IQ109" i="32"/>
  <c r="IR109" i="32"/>
  <c r="IS109" i="32"/>
  <c r="IT109" i="32"/>
  <c r="IU109" i="32"/>
  <c r="IV109" i="32"/>
  <c r="A108" i="32"/>
  <c r="B108" i="32"/>
  <c r="C108" i="32"/>
  <c r="D108" i="32"/>
  <c r="E108" i="32"/>
  <c r="F108" i="32"/>
  <c r="G108" i="32"/>
  <c r="H108" i="32"/>
  <c r="I108" i="32"/>
  <c r="J108" i="32"/>
  <c r="K108" i="32"/>
  <c r="L108" i="32"/>
  <c r="M108" i="32"/>
  <c r="N108" i="32"/>
  <c r="O108" i="32"/>
  <c r="P108" i="32"/>
  <c r="Q108" i="32"/>
  <c r="R108" i="32"/>
  <c r="S108" i="32"/>
  <c r="T108" i="32"/>
  <c r="U108" i="32"/>
  <c r="V108" i="32"/>
  <c r="W108" i="32"/>
  <c r="X108" i="32"/>
  <c r="Y108" i="32"/>
  <c r="Z108" i="32"/>
  <c r="AA108" i="32"/>
  <c r="AB108" i="32"/>
  <c r="AC108" i="32"/>
  <c r="AD108" i="32"/>
  <c r="AE108" i="32"/>
  <c r="AF108" i="32"/>
  <c r="AG108" i="32"/>
  <c r="AH108" i="32"/>
  <c r="AI108" i="32"/>
  <c r="AJ108" i="32"/>
  <c r="AK108" i="32"/>
  <c r="AL108" i="32"/>
  <c r="AM108" i="32"/>
  <c r="AN108" i="32"/>
  <c r="AO108" i="32"/>
  <c r="AP108" i="32"/>
  <c r="AQ108" i="32"/>
  <c r="AR108" i="32"/>
  <c r="AS108" i="32"/>
  <c r="AT108" i="32"/>
  <c r="AU108" i="32"/>
  <c r="AV108" i="32"/>
  <c r="AW108" i="32"/>
  <c r="AX108" i="32"/>
  <c r="AY108" i="32"/>
  <c r="AZ108" i="32"/>
  <c r="BA108" i="32"/>
  <c r="BB108" i="32"/>
  <c r="BC108" i="32"/>
  <c r="BD108" i="32"/>
  <c r="BE108" i="32"/>
  <c r="BF108" i="32"/>
  <c r="BG108" i="32"/>
  <c r="BH108" i="32"/>
  <c r="BI108" i="32"/>
  <c r="BJ108" i="32"/>
  <c r="BK108" i="32"/>
  <c r="BL108" i="32"/>
  <c r="BM108" i="32"/>
  <c r="BN108" i="32"/>
  <c r="BO108" i="32"/>
  <c r="BP108" i="32"/>
  <c r="BQ108" i="32"/>
  <c r="BR108" i="32"/>
  <c r="BS108" i="32"/>
  <c r="BT108" i="32"/>
  <c r="BU108" i="32"/>
  <c r="BV108" i="32"/>
  <c r="BW108" i="32"/>
  <c r="BX108" i="32"/>
  <c r="BY108" i="32"/>
  <c r="BZ108" i="32"/>
  <c r="CA108" i="32"/>
  <c r="CB108" i="32"/>
  <c r="CC108" i="32"/>
  <c r="CD108" i="32"/>
  <c r="CE108" i="32"/>
  <c r="CF108" i="32"/>
  <c r="CG108" i="32"/>
  <c r="CH108" i="32"/>
  <c r="CI108" i="32"/>
  <c r="CJ108" i="32"/>
  <c r="CK108" i="32"/>
  <c r="CL108" i="32"/>
  <c r="CM108" i="32"/>
  <c r="CN108" i="32"/>
  <c r="CO108" i="32"/>
  <c r="CP108" i="32"/>
  <c r="CQ108" i="32"/>
  <c r="CR108" i="32"/>
  <c r="CS108" i="32"/>
  <c r="CT108" i="32"/>
  <c r="CU108" i="32"/>
  <c r="CV108" i="32"/>
  <c r="CW108" i="32"/>
  <c r="CX108" i="32"/>
  <c r="CY108" i="32"/>
  <c r="CZ108" i="32"/>
  <c r="DA108" i="32"/>
  <c r="DB108" i="32"/>
  <c r="DC108" i="32"/>
  <c r="DD108" i="32"/>
  <c r="DE108" i="32"/>
  <c r="DF108" i="32"/>
  <c r="DG108" i="32"/>
  <c r="DH108" i="32"/>
  <c r="DI108" i="32"/>
  <c r="DJ108" i="32"/>
  <c r="DK108" i="32"/>
  <c r="DL108" i="32"/>
  <c r="DM108" i="32"/>
  <c r="DN108" i="32"/>
  <c r="DO108" i="32"/>
  <c r="DP108" i="32"/>
  <c r="DQ108" i="32"/>
  <c r="DR108" i="32"/>
  <c r="DS108" i="32"/>
  <c r="DT108" i="32"/>
  <c r="DU108" i="32"/>
  <c r="DV108" i="32"/>
  <c r="DW108" i="32"/>
  <c r="DX108" i="32"/>
  <c r="DY108" i="32"/>
  <c r="DZ108" i="32"/>
  <c r="EA108" i="32"/>
  <c r="EB108" i="32"/>
  <c r="EC108" i="32"/>
  <c r="ED108" i="32"/>
  <c r="EE108" i="32"/>
  <c r="EF108" i="32"/>
  <c r="EG108" i="32"/>
  <c r="EH108" i="32"/>
  <c r="EI108" i="32"/>
  <c r="EJ108" i="32"/>
  <c r="EK108" i="32"/>
  <c r="EL108" i="32"/>
  <c r="EM108" i="32"/>
  <c r="EN108" i="32"/>
  <c r="EO108" i="32"/>
  <c r="EP108" i="32"/>
  <c r="EQ108" i="32"/>
  <c r="ER108" i="32"/>
  <c r="ES108" i="32"/>
  <c r="ET108" i="32"/>
  <c r="EU108" i="32"/>
  <c r="EV108" i="32"/>
  <c r="EW108" i="32"/>
  <c r="EX108" i="32"/>
  <c r="EY108" i="32"/>
  <c r="EZ108" i="32"/>
  <c r="FA108" i="32"/>
  <c r="FB108" i="32"/>
  <c r="FC108" i="32"/>
  <c r="FD108" i="32"/>
  <c r="FE108" i="32"/>
  <c r="FF108" i="32"/>
  <c r="FG108" i="32"/>
  <c r="FH108" i="32"/>
  <c r="FI108" i="32"/>
  <c r="FJ108" i="32"/>
  <c r="FK108" i="32"/>
  <c r="FL108" i="32"/>
  <c r="FM108" i="32"/>
  <c r="FN108" i="32"/>
  <c r="FO108" i="32"/>
  <c r="FP108" i="32"/>
  <c r="FQ108" i="32"/>
  <c r="FR108" i="32"/>
  <c r="FS108" i="32"/>
  <c r="FT108" i="32"/>
  <c r="FU108" i="32"/>
  <c r="FV108" i="32"/>
  <c r="FW108" i="32"/>
  <c r="FX108" i="32"/>
  <c r="FY108" i="32"/>
  <c r="FZ108" i="32"/>
  <c r="GA108" i="32"/>
  <c r="GB108" i="32"/>
  <c r="GC108" i="32"/>
  <c r="GD108" i="32"/>
  <c r="GE108" i="32"/>
  <c r="GF108" i="32"/>
  <c r="GG108" i="32"/>
  <c r="GH108" i="32"/>
  <c r="GI108" i="32"/>
  <c r="GJ108" i="32"/>
  <c r="GK108" i="32"/>
  <c r="GL108" i="32"/>
  <c r="GM108" i="32"/>
  <c r="GN108" i="32"/>
  <c r="GO108" i="32"/>
  <c r="GP108" i="32"/>
  <c r="GQ108" i="32"/>
  <c r="GR108" i="32"/>
  <c r="GS108" i="32"/>
  <c r="GT108" i="32"/>
  <c r="GU108" i="32"/>
  <c r="GV108" i="32"/>
  <c r="GW108" i="32"/>
  <c r="GX108" i="32"/>
  <c r="GY108" i="32"/>
  <c r="GZ108" i="32"/>
  <c r="HA108" i="32"/>
  <c r="HB108" i="32"/>
  <c r="HC108" i="32"/>
  <c r="HD108" i="32"/>
  <c r="HE108" i="32"/>
  <c r="HF108" i="32"/>
  <c r="HG108" i="32"/>
  <c r="HH108" i="32"/>
  <c r="HI108" i="32"/>
  <c r="HJ108" i="32"/>
  <c r="HK108" i="32"/>
  <c r="HL108" i="32"/>
  <c r="HM108" i="32"/>
  <c r="HN108" i="32"/>
  <c r="HO108" i="32"/>
  <c r="HP108" i="32"/>
  <c r="HQ108" i="32"/>
  <c r="HR108" i="32"/>
  <c r="HS108" i="32"/>
  <c r="HT108" i="32"/>
  <c r="HU108" i="32"/>
  <c r="HV108" i="32"/>
  <c r="HW108" i="32"/>
  <c r="HX108" i="32"/>
  <c r="HY108" i="32"/>
  <c r="HZ108" i="32"/>
  <c r="IA108" i="32"/>
  <c r="IB108" i="32"/>
  <c r="IC108" i="32"/>
  <c r="ID108" i="32"/>
  <c r="IE108" i="32"/>
  <c r="IF108" i="32"/>
  <c r="IG108" i="32"/>
  <c r="IH108" i="32"/>
  <c r="II108" i="32"/>
  <c r="IJ108" i="32"/>
  <c r="IK108" i="32"/>
  <c r="IL108" i="32"/>
  <c r="IM108" i="32"/>
  <c r="IN108" i="32"/>
  <c r="IO108" i="32"/>
  <c r="IP108" i="32"/>
  <c r="IQ108" i="32"/>
  <c r="IR108" i="32"/>
  <c r="IS108" i="32"/>
  <c r="IT108" i="32"/>
  <c r="IU108" i="32"/>
  <c r="IV108" i="32"/>
  <c r="A107" i="32"/>
  <c r="B107" i="32"/>
  <c r="C107" i="32"/>
  <c r="D107" i="32"/>
  <c r="E107" i="32"/>
  <c r="F107" i="32"/>
  <c r="G107" i="32"/>
  <c r="H107" i="32"/>
  <c r="I107" i="32"/>
  <c r="J107" i="32"/>
  <c r="K107" i="32"/>
  <c r="L107" i="32"/>
  <c r="M107" i="32"/>
  <c r="N107" i="32"/>
  <c r="O107" i="32"/>
  <c r="P107" i="32"/>
  <c r="Q107" i="32"/>
  <c r="R107" i="32"/>
  <c r="S107" i="32"/>
  <c r="T107" i="32"/>
  <c r="U107" i="32"/>
  <c r="V107" i="32"/>
  <c r="W107" i="32"/>
  <c r="X107" i="32"/>
  <c r="Y107" i="32"/>
  <c r="Z107" i="32"/>
  <c r="AA107" i="32"/>
  <c r="AB107" i="32"/>
  <c r="AC107" i="32"/>
  <c r="AD107" i="32"/>
  <c r="AE107" i="32"/>
  <c r="AF107" i="32"/>
  <c r="AG107" i="32"/>
  <c r="AH107" i="32"/>
  <c r="AI107" i="32"/>
  <c r="AJ107" i="32"/>
  <c r="AK107" i="32"/>
  <c r="AL107" i="32"/>
  <c r="AM107" i="32"/>
  <c r="AN107" i="32"/>
  <c r="AO107" i="32"/>
  <c r="AP107" i="32"/>
  <c r="AQ107" i="32"/>
  <c r="AR107" i="32"/>
  <c r="AS107" i="32"/>
  <c r="AT107" i="32"/>
  <c r="AU107" i="32"/>
  <c r="AV107" i="32"/>
  <c r="AW107" i="32"/>
  <c r="AX107" i="32"/>
  <c r="AY107" i="32"/>
  <c r="AZ107" i="32"/>
  <c r="BA107" i="32"/>
  <c r="BB107" i="32"/>
  <c r="BC107" i="32"/>
  <c r="BD107" i="32"/>
  <c r="BE107" i="32"/>
  <c r="BF107" i="32"/>
  <c r="BG107" i="32"/>
  <c r="BH107" i="32"/>
  <c r="BI107" i="32"/>
  <c r="BJ107" i="32"/>
  <c r="BK107" i="32"/>
  <c r="BL107" i="32"/>
  <c r="BM107" i="32"/>
  <c r="BN107" i="32"/>
  <c r="BO107" i="32"/>
  <c r="BP107" i="32"/>
  <c r="BQ107" i="32"/>
  <c r="BR107" i="32"/>
  <c r="BS107" i="32"/>
  <c r="BT107" i="32"/>
  <c r="BU107" i="32"/>
  <c r="BV107" i="32"/>
  <c r="BW107" i="32"/>
  <c r="BX107" i="32"/>
  <c r="BY107" i="32"/>
  <c r="BZ107" i="32"/>
  <c r="CA107" i="32"/>
  <c r="CB107" i="32"/>
  <c r="CC107" i="32"/>
  <c r="CD107" i="32"/>
  <c r="CE107" i="32"/>
  <c r="CF107" i="32"/>
  <c r="CG107" i="32"/>
  <c r="CH107" i="32"/>
  <c r="CI107" i="32"/>
  <c r="CJ107" i="32"/>
  <c r="CK107" i="32"/>
  <c r="CL107" i="32"/>
  <c r="CM107" i="32"/>
  <c r="CN107" i="32"/>
  <c r="CO107" i="32"/>
  <c r="CP107" i="32"/>
  <c r="CQ107" i="32"/>
  <c r="CR107" i="32"/>
  <c r="CS107" i="32"/>
  <c r="CT107" i="32"/>
  <c r="CU107" i="32"/>
  <c r="CV107" i="32"/>
  <c r="CW107" i="32"/>
  <c r="CX107" i="32"/>
  <c r="CY107" i="32"/>
  <c r="CZ107" i="32"/>
  <c r="DA107" i="32"/>
  <c r="DB107" i="32"/>
  <c r="DC107" i="32"/>
  <c r="DD107" i="32"/>
  <c r="DE107" i="32"/>
  <c r="DF107" i="32"/>
  <c r="DG107" i="32"/>
  <c r="DH107" i="32"/>
  <c r="DI107" i="32"/>
  <c r="DJ107" i="32"/>
  <c r="DK107" i="32"/>
  <c r="DL107" i="32"/>
  <c r="DM107" i="32"/>
  <c r="DN107" i="32"/>
  <c r="DO107" i="32"/>
  <c r="DP107" i="32"/>
  <c r="DQ107" i="32"/>
  <c r="DR107" i="32"/>
  <c r="DS107" i="32"/>
  <c r="DT107" i="32"/>
  <c r="DU107" i="32"/>
  <c r="DV107" i="32"/>
  <c r="DW107" i="32"/>
  <c r="DX107" i="32"/>
  <c r="DY107" i="32"/>
  <c r="DZ107" i="32"/>
  <c r="EA107" i="32"/>
  <c r="EB107" i="32"/>
  <c r="EC107" i="32"/>
  <c r="ED107" i="32"/>
  <c r="EE107" i="32"/>
  <c r="EF107" i="32"/>
  <c r="EG107" i="32"/>
  <c r="EH107" i="32"/>
  <c r="EI107" i="32"/>
  <c r="EJ107" i="32"/>
  <c r="EK107" i="32"/>
  <c r="EL107" i="32"/>
  <c r="EM107" i="32"/>
  <c r="EN107" i="32"/>
  <c r="EO107" i="32"/>
  <c r="EP107" i="32"/>
  <c r="EQ107" i="32"/>
  <c r="ER107" i="32"/>
  <c r="ES107" i="32"/>
  <c r="ET107" i="32"/>
  <c r="EU107" i="32"/>
  <c r="EV107" i="32"/>
  <c r="EW107" i="32"/>
  <c r="EX107" i="32"/>
  <c r="EY107" i="32"/>
  <c r="EZ107" i="32"/>
  <c r="FA107" i="32"/>
  <c r="FB107" i="32"/>
  <c r="FC107" i="32"/>
  <c r="FD107" i="32"/>
  <c r="FE107" i="32"/>
  <c r="FF107" i="32"/>
  <c r="FG107" i="32"/>
  <c r="FH107" i="32"/>
  <c r="FI107" i="32"/>
  <c r="FJ107" i="32"/>
  <c r="FK107" i="32"/>
  <c r="FL107" i="32"/>
  <c r="FM107" i="32"/>
  <c r="FN107" i="32"/>
  <c r="FO107" i="32"/>
  <c r="FP107" i="32"/>
  <c r="FQ107" i="32"/>
  <c r="FR107" i="32"/>
  <c r="FS107" i="32"/>
  <c r="FT107" i="32"/>
  <c r="FU107" i="32"/>
  <c r="FV107" i="32"/>
  <c r="FW107" i="32"/>
  <c r="FX107" i="32"/>
  <c r="FY107" i="32"/>
  <c r="FZ107" i="32"/>
  <c r="GA107" i="32"/>
  <c r="GB107" i="32"/>
  <c r="GC107" i="32"/>
  <c r="GD107" i="32"/>
  <c r="GE107" i="32"/>
  <c r="GF107" i="32"/>
  <c r="GG107" i="32"/>
  <c r="GH107" i="32"/>
  <c r="GI107" i="32"/>
  <c r="GJ107" i="32"/>
  <c r="GK107" i="32"/>
  <c r="GL107" i="32"/>
  <c r="GM107" i="32"/>
  <c r="GN107" i="32"/>
  <c r="GO107" i="32"/>
  <c r="GP107" i="32"/>
  <c r="GQ107" i="32"/>
  <c r="GR107" i="32"/>
  <c r="GS107" i="32"/>
  <c r="GT107" i="32"/>
  <c r="GU107" i="32"/>
  <c r="GV107" i="32"/>
  <c r="GW107" i="32"/>
  <c r="GX107" i="32"/>
  <c r="GY107" i="32"/>
  <c r="GZ107" i="32"/>
  <c r="HA107" i="32"/>
  <c r="HB107" i="32"/>
  <c r="HC107" i="32"/>
  <c r="HD107" i="32"/>
  <c r="HE107" i="32"/>
  <c r="HF107" i="32"/>
  <c r="HG107" i="32"/>
  <c r="HH107" i="32"/>
  <c r="HI107" i="32"/>
  <c r="HJ107" i="32"/>
  <c r="HK107" i="32"/>
  <c r="HL107" i="32"/>
  <c r="HM107" i="32"/>
  <c r="HN107" i="32"/>
  <c r="HO107" i="32"/>
  <c r="HP107" i="32"/>
  <c r="HQ107" i="32"/>
  <c r="HR107" i="32"/>
  <c r="HS107" i="32"/>
  <c r="HT107" i="32"/>
  <c r="HU107" i="32"/>
  <c r="HV107" i="32"/>
  <c r="HW107" i="32"/>
  <c r="HX107" i="32"/>
  <c r="HY107" i="32"/>
  <c r="HZ107" i="32"/>
  <c r="IA107" i="32"/>
  <c r="IB107" i="32"/>
  <c r="IC107" i="32"/>
  <c r="ID107" i="32"/>
  <c r="IE107" i="32"/>
  <c r="IF107" i="32"/>
  <c r="IG107" i="32"/>
  <c r="IH107" i="32"/>
  <c r="II107" i="32"/>
  <c r="IJ107" i="32"/>
  <c r="IK107" i="32"/>
  <c r="IL107" i="32"/>
  <c r="IM107" i="32"/>
  <c r="IN107" i="32"/>
  <c r="IO107" i="32"/>
  <c r="IP107" i="32"/>
  <c r="IQ107" i="32"/>
  <c r="IR107" i="32"/>
  <c r="IS107" i="32"/>
  <c r="IT107" i="32"/>
  <c r="IU107" i="32"/>
  <c r="IV107" i="32"/>
  <c r="A106" i="32"/>
  <c r="B106" i="32"/>
  <c r="C106" i="32"/>
  <c r="D106" i="32"/>
  <c r="E106" i="32"/>
  <c r="F106" i="32"/>
  <c r="G106" i="32"/>
  <c r="H106" i="32"/>
  <c r="I106" i="32"/>
  <c r="J106" i="32"/>
  <c r="K106" i="32"/>
  <c r="L106" i="32"/>
  <c r="M106" i="32"/>
  <c r="N106" i="32"/>
  <c r="O106" i="32"/>
  <c r="P106" i="32"/>
  <c r="Q106" i="32"/>
  <c r="R106" i="32"/>
  <c r="S106" i="32"/>
  <c r="T106" i="32"/>
  <c r="U106" i="32"/>
  <c r="V106" i="32"/>
  <c r="W106" i="32"/>
  <c r="X106" i="32"/>
  <c r="Y106" i="32"/>
  <c r="Z106" i="32"/>
  <c r="AA106" i="32"/>
  <c r="AB106" i="32"/>
  <c r="AC106" i="32"/>
  <c r="AD106" i="32"/>
  <c r="AE106" i="32"/>
  <c r="AF106" i="32"/>
  <c r="AG106" i="32"/>
  <c r="AH106" i="32"/>
  <c r="AI106" i="32"/>
  <c r="AJ106" i="32"/>
  <c r="AK106" i="32"/>
  <c r="AL106" i="32"/>
  <c r="AM106" i="32"/>
  <c r="AN106" i="32"/>
  <c r="AO106" i="32"/>
  <c r="AP106" i="32"/>
  <c r="AQ106" i="32"/>
  <c r="AR106" i="32"/>
  <c r="AS106" i="32"/>
  <c r="AT106" i="32"/>
  <c r="AU106" i="32"/>
  <c r="AV106" i="32"/>
  <c r="AW106" i="32"/>
  <c r="AX106" i="32"/>
  <c r="AY106" i="32"/>
  <c r="AZ106" i="32"/>
  <c r="BA106" i="32"/>
  <c r="BB106" i="32"/>
  <c r="BC106" i="32"/>
  <c r="BD106" i="32"/>
  <c r="BE106" i="32"/>
  <c r="BF106" i="32"/>
  <c r="BG106" i="32"/>
  <c r="BH106" i="32"/>
  <c r="BI106" i="32"/>
  <c r="BJ106" i="32"/>
  <c r="BK106" i="32"/>
  <c r="BL106" i="32"/>
  <c r="BM106" i="32"/>
  <c r="BN106" i="32"/>
  <c r="BO106" i="32"/>
  <c r="BP106" i="32"/>
  <c r="BQ106" i="32"/>
  <c r="BR106" i="32"/>
  <c r="BS106" i="32"/>
  <c r="BT106" i="32"/>
  <c r="BU106" i="32"/>
  <c r="BV106" i="32"/>
  <c r="BW106" i="32"/>
  <c r="BX106" i="32"/>
  <c r="BY106" i="32"/>
  <c r="BZ106" i="32"/>
  <c r="CA106" i="32"/>
  <c r="CB106" i="32"/>
  <c r="CC106" i="32"/>
  <c r="CD106" i="32"/>
  <c r="CE106" i="32"/>
  <c r="CF106" i="32"/>
  <c r="CG106" i="32"/>
  <c r="CH106" i="32"/>
  <c r="CI106" i="32"/>
  <c r="CJ106" i="32"/>
  <c r="CK106" i="32"/>
  <c r="CL106" i="32"/>
  <c r="CM106" i="32"/>
  <c r="CN106" i="32"/>
  <c r="CO106" i="32"/>
  <c r="CP106" i="32"/>
  <c r="CQ106" i="32"/>
  <c r="CR106" i="32"/>
  <c r="CS106" i="32"/>
  <c r="CT106" i="32"/>
  <c r="CU106" i="32"/>
  <c r="CV106" i="32"/>
  <c r="CW106" i="32"/>
  <c r="CX106" i="32"/>
  <c r="CY106" i="32"/>
  <c r="CZ106" i="32"/>
  <c r="DA106" i="32"/>
  <c r="DB106" i="32"/>
  <c r="DC106" i="32"/>
  <c r="DD106" i="32"/>
  <c r="DE106" i="32"/>
  <c r="DF106" i="32"/>
  <c r="DG106" i="32"/>
  <c r="DH106" i="32"/>
  <c r="DI106" i="32"/>
  <c r="DJ106" i="32"/>
  <c r="DK106" i="32"/>
  <c r="DL106" i="32"/>
  <c r="DM106" i="32"/>
  <c r="DN106" i="32"/>
  <c r="DO106" i="32"/>
  <c r="DP106" i="32"/>
  <c r="DQ106" i="32"/>
  <c r="DR106" i="32"/>
  <c r="DS106" i="32"/>
  <c r="DT106" i="32"/>
  <c r="DU106" i="32"/>
  <c r="DV106" i="32"/>
  <c r="DW106" i="32"/>
  <c r="DX106" i="32"/>
  <c r="DY106" i="32"/>
  <c r="DZ106" i="32"/>
  <c r="EA106" i="32"/>
  <c r="EB106" i="32"/>
  <c r="EC106" i="32"/>
  <c r="ED106" i="32"/>
  <c r="EE106" i="32"/>
  <c r="EF106" i="32"/>
  <c r="EG106" i="32"/>
  <c r="EH106" i="32"/>
  <c r="EI106" i="32"/>
  <c r="EJ106" i="32"/>
  <c r="EK106" i="32"/>
  <c r="EL106" i="32"/>
  <c r="EM106" i="32"/>
  <c r="EN106" i="32"/>
  <c r="EO106" i="32"/>
  <c r="EP106" i="32"/>
  <c r="EQ106" i="32"/>
  <c r="ER106" i="32"/>
  <c r="ES106" i="32"/>
  <c r="ET106" i="32"/>
  <c r="EU106" i="32"/>
  <c r="EV106" i="32"/>
  <c r="EW106" i="32"/>
  <c r="EX106" i="32"/>
  <c r="EY106" i="32"/>
  <c r="EZ106" i="32"/>
  <c r="FA106" i="32"/>
  <c r="FB106" i="32"/>
  <c r="FC106" i="32"/>
  <c r="FD106" i="32"/>
  <c r="FE106" i="32"/>
  <c r="FF106" i="32"/>
  <c r="FG106" i="32"/>
  <c r="FH106" i="32"/>
  <c r="FI106" i="32"/>
  <c r="FJ106" i="32"/>
  <c r="FK106" i="32"/>
  <c r="FL106" i="32"/>
  <c r="FM106" i="32"/>
  <c r="FN106" i="32"/>
  <c r="FO106" i="32"/>
  <c r="FP106" i="32"/>
  <c r="FQ106" i="32"/>
  <c r="FR106" i="32"/>
  <c r="FS106" i="32"/>
  <c r="FT106" i="32"/>
  <c r="FU106" i="32"/>
  <c r="FV106" i="32"/>
  <c r="FW106" i="32"/>
  <c r="FX106" i="32"/>
  <c r="FY106" i="32"/>
  <c r="FZ106" i="32"/>
  <c r="GA106" i="32"/>
  <c r="GB106" i="32"/>
  <c r="GC106" i="32"/>
  <c r="GD106" i="32"/>
  <c r="GE106" i="32"/>
  <c r="GF106" i="32"/>
  <c r="GG106" i="32"/>
  <c r="GH106" i="32"/>
  <c r="GI106" i="32"/>
  <c r="GJ106" i="32"/>
  <c r="GK106" i="32"/>
  <c r="GL106" i="32"/>
  <c r="GM106" i="32"/>
  <c r="GN106" i="32"/>
  <c r="GO106" i="32"/>
  <c r="GP106" i="32"/>
  <c r="GQ106" i="32"/>
  <c r="GR106" i="32"/>
  <c r="GS106" i="32"/>
  <c r="GT106" i="32"/>
  <c r="GU106" i="32"/>
  <c r="GV106" i="32"/>
  <c r="GW106" i="32"/>
  <c r="GX106" i="32"/>
  <c r="GY106" i="32"/>
  <c r="GZ106" i="32"/>
  <c r="HA106" i="32"/>
  <c r="HB106" i="32"/>
  <c r="HC106" i="32"/>
  <c r="HD106" i="32"/>
  <c r="HE106" i="32"/>
  <c r="HF106" i="32"/>
  <c r="HG106" i="32"/>
  <c r="HH106" i="32"/>
  <c r="HI106" i="32"/>
  <c r="HJ106" i="32"/>
  <c r="HK106" i="32"/>
  <c r="HL106" i="32"/>
  <c r="HM106" i="32"/>
  <c r="HN106" i="32"/>
  <c r="HO106" i="32"/>
  <c r="HP106" i="32"/>
  <c r="HQ106" i="32"/>
  <c r="HR106" i="32"/>
  <c r="HS106" i="32"/>
  <c r="HT106" i="32"/>
  <c r="HU106" i="32"/>
  <c r="HV106" i="32"/>
  <c r="HW106" i="32"/>
  <c r="HX106" i="32"/>
  <c r="HY106" i="32"/>
  <c r="HZ106" i="32"/>
  <c r="IA106" i="32"/>
  <c r="IB106" i="32"/>
  <c r="IC106" i="32"/>
  <c r="ID106" i="32"/>
  <c r="IE106" i="32"/>
  <c r="IF106" i="32"/>
  <c r="IG106" i="32"/>
  <c r="IH106" i="32"/>
  <c r="II106" i="32"/>
  <c r="IJ106" i="32"/>
  <c r="IK106" i="32"/>
  <c r="IL106" i="32"/>
  <c r="IM106" i="32"/>
  <c r="IN106" i="32"/>
  <c r="IO106" i="32"/>
  <c r="IP106" i="32"/>
  <c r="IQ106" i="32"/>
  <c r="IR106" i="32"/>
  <c r="IS106" i="32"/>
  <c r="IT106" i="32"/>
  <c r="IU106" i="32"/>
  <c r="IV106" i="32"/>
  <c r="A105" i="32"/>
  <c r="B105" i="32"/>
  <c r="C105" i="32"/>
  <c r="D105" i="32"/>
  <c r="E105" i="32"/>
  <c r="F105" i="32"/>
  <c r="G105" i="32"/>
  <c r="H105" i="32"/>
  <c r="I105" i="32"/>
  <c r="J105" i="32"/>
  <c r="K105" i="32"/>
  <c r="L105" i="32"/>
  <c r="M105" i="32"/>
  <c r="N105" i="32"/>
  <c r="O105" i="32"/>
  <c r="P105" i="32"/>
  <c r="Q105" i="32"/>
  <c r="R105" i="32"/>
  <c r="S105" i="32"/>
  <c r="T105" i="32"/>
  <c r="U105" i="32"/>
  <c r="V105" i="32"/>
  <c r="W105" i="32"/>
  <c r="X105" i="32"/>
  <c r="Y105" i="32"/>
  <c r="Z105" i="32"/>
  <c r="AA105" i="32"/>
  <c r="AB105" i="32"/>
  <c r="AC105" i="32"/>
  <c r="AD105" i="32"/>
  <c r="AE105" i="32"/>
  <c r="AF105" i="32"/>
  <c r="AG105" i="32"/>
  <c r="AH105" i="32"/>
  <c r="AI105" i="32"/>
  <c r="AJ105" i="32"/>
  <c r="AK105" i="32"/>
  <c r="AL105" i="32"/>
  <c r="AM105" i="32"/>
  <c r="AN105" i="32"/>
  <c r="AO105" i="32"/>
  <c r="AP105" i="32"/>
  <c r="AQ105" i="32"/>
  <c r="AR105" i="32"/>
  <c r="AS105" i="32"/>
  <c r="AT105" i="32"/>
  <c r="AU105" i="32"/>
  <c r="AV105" i="32"/>
  <c r="AW105" i="32"/>
  <c r="AX105" i="32"/>
  <c r="AY105" i="32"/>
  <c r="AZ105" i="32"/>
  <c r="BA105" i="32"/>
  <c r="BB105" i="32"/>
  <c r="BC105" i="32"/>
  <c r="BD105" i="32"/>
  <c r="BE105" i="32"/>
  <c r="BF105" i="32"/>
  <c r="BG105" i="32"/>
  <c r="BH105" i="32"/>
  <c r="BI105" i="32"/>
  <c r="BJ105" i="32"/>
  <c r="BK105" i="32"/>
  <c r="BL105" i="32"/>
  <c r="BM105" i="32"/>
  <c r="BN105" i="32"/>
  <c r="BO105" i="32"/>
  <c r="BP105" i="32"/>
  <c r="BQ105" i="32"/>
  <c r="BR105" i="32"/>
  <c r="BS105" i="32"/>
  <c r="BT105" i="32"/>
  <c r="BU105" i="32"/>
  <c r="BV105" i="32"/>
  <c r="BW105" i="32"/>
  <c r="BX105" i="32"/>
  <c r="BY105" i="32"/>
  <c r="BZ105" i="32"/>
  <c r="CA105" i="32"/>
  <c r="CB105" i="32"/>
  <c r="CC105" i="32"/>
  <c r="CD105" i="32"/>
  <c r="CE105" i="32"/>
  <c r="CF105" i="32"/>
  <c r="CG105" i="32"/>
  <c r="CH105" i="32"/>
  <c r="CI105" i="32"/>
  <c r="CJ105" i="32"/>
  <c r="CK105" i="32"/>
  <c r="CL105" i="32"/>
  <c r="CM105" i="32"/>
  <c r="CN105" i="32"/>
  <c r="CO105" i="32"/>
  <c r="CP105" i="32"/>
  <c r="CQ105" i="32"/>
  <c r="CR105" i="32"/>
  <c r="CS105" i="32"/>
  <c r="CT105" i="32"/>
  <c r="CU105" i="32"/>
  <c r="CV105" i="32"/>
  <c r="CW105" i="32"/>
  <c r="CX105" i="32"/>
  <c r="CY105" i="32"/>
  <c r="CZ105" i="32"/>
  <c r="DA105" i="32"/>
  <c r="DB105" i="32"/>
  <c r="DC105" i="32"/>
  <c r="DD105" i="32"/>
  <c r="DE105" i="32"/>
  <c r="DF105" i="32"/>
  <c r="DG105" i="32"/>
  <c r="DH105" i="32"/>
  <c r="DI105" i="32"/>
  <c r="DJ105" i="32"/>
  <c r="DK105" i="32"/>
  <c r="DL105" i="32"/>
  <c r="DM105" i="32"/>
  <c r="DN105" i="32"/>
  <c r="DO105" i="32"/>
  <c r="DP105" i="32"/>
  <c r="DQ105" i="32"/>
  <c r="DR105" i="32"/>
  <c r="DS105" i="32"/>
  <c r="DT105" i="32"/>
  <c r="DU105" i="32"/>
  <c r="DV105" i="32"/>
  <c r="DW105" i="32"/>
  <c r="DX105" i="32"/>
  <c r="DY105" i="32"/>
  <c r="DZ105" i="32"/>
  <c r="EA105" i="32"/>
  <c r="EB105" i="32"/>
  <c r="EC105" i="32"/>
  <c r="ED105" i="32"/>
  <c r="EE105" i="32"/>
  <c r="EF105" i="32"/>
  <c r="EG105" i="32"/>
  <c r="EH105" i="32"/>
  <c r="EI105" i="32"/>
  <c r="EJ105" i="32"/>
  <c r="EK105" i="32"/>
  <c r="EL105" i="32"/>
  <c r="EM105" i="32"/>
  <c r="EN105" i="32"/>
  <c r="EO105" i="32"/>
  <c r="EP105" i="32"/>
  <c r="EQ105" i="32"/>
  <c r="ER105" i="32"/>
  <c r="ES105" i="32"/>
  <c r="ET105" i="32"/>
  <c r="EU105" i="32"/>
  <c r="EV105" i="32"/>
  <c r="EW105" i="32"/>
  <c r="EX105" i="32"/>
  <c r="EY105" i="32"/>
  <c r="EZ105" i="32"/>
  <c r="FA105" i="32"/>
  <c r="FB105" i="32"/>
  <c r="FC105" i="32"/>
  <c r="FD105" i="32"/>
  <c r="FE105" i="32"/>
  <c r="FF105" i="32"/>
  <c r="FG105" i="32"/>
  <c r="FH105" i="32"/>
  <c r="FI105" i="32"/>
  <c r="FJ105" i="32"/>
  <c r="FK105" i="32"/>
  <c r="FL105" i="32"/>
  <c r="FM105" i="32"/>
  <c r="FN105" i="32"/>
  <c r="FO105" i="32"/>
  <c r="FP105" i="32"/>
  <c r="FQ105" i="32"/>
  <c r="FR105" i="32"/>
  <c r="FS105" i="32"/>
  <c r="FT105" i="32"/>
  <c r="FU105" i="32"/>
  <c r="FV105" i="32"/>
  <c r="FW105" i="32"/>
  <c r="FX105" i="32"/>
  <c r="FY105" i="32"/>
  <c r="FZ105" i="32"/>
  <c r="GA105" i="32"/>
  <c r="GB105" i="32"/>
  <c r="GC105" i="32"/>
  <c r="GD105" i="32"/>
  <c r="GE105" i="32"/>
  <c r="GF105" i="32"/>
  <c r="GG105" i="32"/>
  <c r="GH105" i="32"/>
  <c r="GI105" i="32"/>
  <c r="GJ105" i="32"/>
  <c r="GK105" i="32"/>
  <c r="GL105" i="32"/>
  <c r="GM105" i="32"/>
  <c r="GN105" i="32"/>
  <c r="GO105" i="32"/>
  <c r="GP105" i="32"/>
  <c r="GQ105" i="32"/>
  <c r="GR105" i="32"/>
  <c r="GS105" i="32"/>
  <c r="GT105" i="32"/>
  <c r="GU105" i="32"/>
  <c r="GV105" i="32"/>
  <c r="GW105" i="32"/>
  <c r="GX105" i="32"/>
  <c r="GY105" i="32"/>
  <c r="GZ105" i="32"/>
  <c r="HA105" i="32"/>
  <c r="HB105" i="32"/>
  <c r="HC105" i="32"/>
  <c r="HD105" i="32"/>
  <c r="HE105" i="32"/>
  <c r="HF105" i="32"/>
  <c r="HG105" i="32"/>
  <c r="HH105" i="32"/>
  <c r="HI105" i="32"/>
  <c r="HJ105" i="32"/>
  <c r="HK105" i="32"/>
  <c r="HL105" i="32"/>
  <c r="HM105" i="32"/>
  <c r="HN105" i="32"/>
  <c r="HO105" i="32"/>
  <c r="HP105" i="32"/>
  <c r="HQ105" i="32"/>
  <c r="HR105" i="32"/>
  <c r="HS105" i="32"/>
  <c r="HT105" i="32"/>
  <c r="HU105" i="32"/>
  <c r="HV105" i="32"/>
  <c r="HW105" i="32"/>
  <c r="HX105" i="32"/>
  <c r="HY105" i="32"/>
  <c r="HZ105" i="32"/>
  <c r="IA105" i="32"/>
  <c r="IB105" i="32"/>
  <c r="IC105" i="32"/>
  <c r="ID105" i="32"/>
  <c r="IE105" i="32"/>
  <c r="IF105" i="32"/>
  <c r="IG105" i="32"/>
  <c r="IH105" i="32"/>
  <c r="II105" i="32"/>
  <c r="IJ105" i="32"/>
  <c r="IK105" i="32"/>
  <c r="IL105" i="32"/>
  <c r="IM105" i="32"/>
  <c r="IN105" i="32"/>
  <c r="IO105" i="32"/>
  <c r="IP105" i="32"/>
  <c r="IQ105" i="32"/>
  <c r="IR105" i="32"/>
  <c r="IS105" i="32"/>
  <c r="IT105" i="32"/>
  <c r="IU105" i="32"/>
  <c r="IV105" i="32"/>
  <c r="A104" i="32"/>
  <c r="B104" i="32"/>
  <c r="C104" i="32"/>
  <c r="D104" i="32"/>
  <c r="E104" i="32"/>
  <c r="F104" i="32"/>
  <c r="G104" i="32"/>
  <c r="H104" i="32"/>
  <c r="I104" i="32"/>
  <c r="J104" i="32"/>
  <c r="K104" i="32"/>
  <c r="L104" i="32"/>
  <c r="M104" i="32"/>
  <c r="N104" i="32"/>
  <c r="O104" i="32"/>
  <c r="P104" i="32"/>
  <c r="Q104" i="32"/>
  <c r="R104" i="32"/>
  <c r="S104" i="32"/>
  <c r="T104" i="32"/>
  <c r="U104" i="32"/>
  <c r="V104" i="32"/>
  <c r="W104" i="32"/>
  <c r="X104" i="32"/>
  <c r="Y104" i="32"/>
  <c r="Z104" i="32"/>
  <c r="AA104" i="32"/>
  <c r="AB104" i="32"/>
  <c r="AC104" i="32"/>
  <c r="AD104" i="32"/>
  <c r="AE104" i="32"/>
  <c r="AF104" i="32"/>
  <c r="AG104" i="32"/>
  <c r="AH104" i="32"/>
  <c r="AI104" i="32"/>
  <c r="AJ104" i="32"/>
  <c r="AK104" i="32"/>
  <c r="AL104" i="32"/>
  <c r="AM104" i="32"/>
  <c r="AN104" i="32"/>
  <c r="AO104" i="32"/>
  <c r="AP104" i="32"/>
  <c r="AQ104" i="32"/>
  <c r="AR104" i="32"/>
  <c r="AS104" i="32"/>
  <c r="AT104" i="32"/>
  <c r="AU104" i="32"/>
  <c r="AV104" i="32"/>
  <c r="AW104" i="32"/>
  <c r="AX104" i="32"/>
  <c r="AY104" i="32"/>
  <c r="AZ104" i="32"/>
  <c r="BA104" i="32"/>
  <c r="BB104" i="32"/>
  <c r="BC104" i="32"/>
  <c r="BD104" i="32"/>
  <c r="BE104" i="32"/>
  <c r="BF104" i="32"/>
  <c r="BG104" i="32"/>
  <c r="BH104" i="32"/>
  <c r="BI104" i="32"/>
  <c r="BJ104" i="32"/>
  <c r="BK104" i="32"/>
  <c r="BL104" i="32"/>
  <c r="BM104" i="32"/>
  <c r="BN104" i="32"/>
  <c r="BO104" i="32"/>
  <c r="BP104" i="32"/>
  <c r="BQ104" i="32"/>
  <c r="BR104" i="32"/>
  <c r="BS104" i="32"/>
  <c r="BT104" i="32"/>
  <c r="BU104" i="32"/>
  <c r="BV104" i="32"/>
  <c r="BW104" i="32"/>
  <c r="BX104" i="32"/>
  <c r="BY104" i="32"/>
  <c r="BZ104" i="32"/>
  <c r="CA104" i="32"/>
  <c r="CB104" i="32"/>
  <c r="CC104" i="32"/>
  <c r="CD104" i="32"/>
  <c r="CE104" i="32"/>
  <c r="CF104" i="32"/>
  <c r="CG104" i="32"/>
  <c r="CH104" i="32"/>
  <c r="CI104" i="32"/>
  <c r="CJ104" i="32"/>
  <c r="CK104" i="32"/>
  <c r="CL104" i="32"/>
  <c r="CM104" i="32"/>
  <c r="CN104" i="32"/>
  <c r="CO104" i="32"/>
  <c r="CP104" i="32"/>
  <c r="CQ104" i="32"/>
  <c r="CR104" i="32"/>
  <c r="CS104" i="32"/>
  <c r="CT104" i="32"/>
  <c r="CU104" i="32"/>
  <c r="CV104" i="32"/>
  <c r="CW104" i="32"/>
  <c r="CX104" i="32"/>
  <c r="CY104" i="32"/>
  <c r="CZ104" i="32"/>
  <c r="DA104" i="32"/>
  <c r="DB104" i="32"/>
  <c r="DC104" i="32"/>
  <c r="DD104" i="32"/>
  <c r="DE104" i="32"/>
  <c r="DF104" i="32"/>
  <c r="DG104" i="32"/>
  <c r="DH104" i="32"/>
  <c r="DI104" i="32"/>
  <c r="DJ104" i="32"/>
  <c r="DK104" i="32"/>
  <c r="DL104" i="32"/>
  <c r="DM104" i="32"/>
  <c r="DN104" i="32"/>
  <c r="DO104" i="32"/>
  <c r="DP104" i="32"/>
  <c r="DQ104" i="32"/>
  <c r="DR104" i="32"/>
  <c r="DS104" i="32"/>
  <c r="DT104" i="32"/>
  <c r="DU104" i="32"/>
  <c r="DV104" i="32"/>
  <c r="DW104" i="32"/>
  <c r="DX104" i="32"/>
  <c r="DY104" i="32"/>
  <c r="DZ104" i="32"/>
  <c r="EA104" i="32"/>
  <c r="EB104" i="32"/>
  <c r="EC104" i="32"/>
  <c r="ED104" i="32"/>
  <c r="EE104" i="32"/>
  <c r="EF104" i="32"/>
  <c r="EG104" i="32"/>
  <c r="EH104" i="32"/>
  <c r="EI104" i="32"/>
  <c r="EJ104" i="32"/>
  <c r="EK104" i="32"/>
  <c r="EL104" i="32"/>
  <c r="EM104" i="32"/>
  <c r="EN104" i="32"/>
  <c r="EO104" i="32"/>
  <c r="EP104" i="32"/>
  <c r="EQ104" i="32"/>
  <c r="ER104" i="32"/>
  <c r="ES104" i="32"/>
  <c r="ET104" i="32"/>
  <c r="EU104" i="32"/>
  <c r="EV104" i="32"/>
  <c r="EW104" i="32"/>
  <c r="EX104" i="32"/>
  <c r="EY104" i="32"/>
  <c r="EZ104" i="32"/>
  <c r="FA104" i="32"/>
  <c r="FB104" i="32"/>
  <c r="FC104" i="32"/>
  <c r="FD104" i="32"/>
  <c r="FE104" i="32"/>
  <c r="FF104" i="32"/>
  <c r="FG104" i="32"/>
  <c r="FH104" i="32"/>
  <c r="FI104" i="32"/>
  <c r="FJ104" i="32"/>
  <c r="FK104" i="32"/>
  <c r="FL104" i="32"/>
  <c r="FM104" i="32"/>
  <c r="FN104" i="32"/>
  <c r="FO104" i="32"/>
  <c r="FP104" i="32"/>
  <c r="FQ104" i="32"/>
  <c r="FR104" i="32"/>
  <c r="FS104" i="32"/>
  <c r="FT104" i="32"/>
  <c r="FU104" i="32"/>
  <c r="FV104" i="32"/>
  <c r="FW104" i="32"/>
  <c r="FX104" i="32"/>
  <c r="FY104" i="32"/>
  <c r="FZ104" i="32"/>
  <c r="GA104" i="32"/>
  <c r="GB104" i="32"/>
  <c r="GC104" i="32"/>
  <c r="GD104" i="32"/>
  <c r="GE104" i="32"/>
  <c r="GF104" i="32"/>
  <c r="GG104" i="32"/>
  <c r="GH104" i="32"/>
  <c r="GI104" i="32"/>
  <c r="GJ104" i="32"/>
  <c r="GK104" i="32"/>
  <c r="GL104" i="32"/>
  <c r="GM104" i="32"/>
  <c r="GN104" i="32"/>
  <c r="GO104" i="32"/>
  <c r="GP104" i="32"/>
  <c r="GQ104" i="32"/>
  <c r="GR104" i="32"/>
  <c r="GS104" i="32"/>
  <c r="GT104" i="32"/>
  <c r="GU104" i="32"/>
  <c r="GV104" i="32"/>
  <c r="GW104" i="32"/>
  <c r="GX104" i="32"/>
  <c r="GY104" i="32"/>
  <c r="GZ104" i="32"/>
  <c r="HA104" i="32"/>
  <c r="HB104" i="32"/>
  <c r="HC104" i="32"/>
  <c r="HD104" i="32"/>
  <c r="HE104" i="32"/>
  <c r="HF104" i="32"/>
  <c r="HG104" i="32"/>
  <c r="HH104" i="32"/>
  <c r="HI104" i="32"/>
  <c r="HJ104" i="32"/>
  <c r="HK104" i="32"/>
  <c r="HL104" i="32"/>
  <c r="HM104" i="32"/>
  <c r="HN104" i="32"/>
  <c r="HO104" i="32"/>
  <c r="HP104" i="32"/>
  <c r="HQ104" i="32"/>
  <c r="HR104" i="32"/>
  <c r="HS104" i="32"/>
  <c r="HT104" i="32"/>
  <c r="HU104" i="32"/>
  <c r="HV104" i="32"/>
  <c r="HW104" i="32"/>
  <c r="HX104" i="32"/>
  <c r="HY104" i="32"/>
  <c r="HZ104" i="32"/>
  <c r="IA104" i="32"/>
  <c r="IB104" i="32"/>
  <c r="IC104" i="32"/>
  <c r="ID104" i="32"/>
  <c r="IE104" i="32"/>
  <c r="IF104" i="32"/>
  <c r="IG104" i="32"/>
  <c r="IH104" i="32"/>
  <c r="II104" i="32"/>
  <c r="IJ104" i="32"/>
  <c r="IK104" i="32"/>
  <c r="IL104" i="32"/>
  <c r="IM104" i="32"/>
  <c r="IN104" i="32"/>
  <c r="IO104" i="32"/>
  <c r="IP104" i="32"/>
  <c r="IQ104" i="32"/>
  <c r="IR104" i="32"/>
  <c r="IS104" i="32"/>
  <c r="IT104" i="32"/>
  <c r="IU104" i="32"/>
  <c r="IV104" i="32"/>
  <c r="A103" i="32"/>
  <c r="B103" i="32"/>
  <c r="C103" i="32"/>
  <c r="D103" i="32"/>
  <c r="E103" i="32"/>
  <c r="F103" i="32"/>
  <c r="G103" i="32"/>
  <c r="H103" i="32"/>
  <c r="I103" i="32"/>
  <c r="J103" i="32"/>
  <c r="K103" i="32"/>
  <c r="L103" i="32"/>
  <c r="M103" i="32"/>
  <c r="N103" i="32"/>
  <c r="O103" i="32"/>
  <c r="P103" i="32"/>
  <c r="Q103" i="32"/>
  <c r="R103" i="32"/>
  <c r="S103" i="32"/>
  <c r="T103" i="32"/>
  <c r="U103" i="32"/>
  <c r="V103" i="32"/>
  <c r="W103" i="32"/>
  <c r="X103" i="32"/>
  <c r="Y103" i="32"/>
  <c r="Z103" i="32"/>
  <c r="AA103" i="32"/>
  <c r="AB103" i="32"/>
  <c r="AC103" i="32"/>
  <c r="AD103" i="32"/>
  <c r="AE103" i="32"/>
  <c r="AF103" i="32"/>
  <c r="AG103" i="32"/>
  <c r="AH103" i="32"/>
  <c r="AI103" i="32"/>
  <c r="AJ103" i="32"/>
  <c r="AK103" i="32"/>
  <c r="AL103" i="32"/>
  <c r="AM103" i="32"/>
  <c r="AN103" i="32"/>
  <c r="AO103" i="32"/>
  <c r="AP103" i="32"/>
  <c r="AQ103" i="32"/>
  <c r="AR103" i="32"/>
  <c r="AS103" i="32"/>
  <c r="AT103" i="32"/>
  <c r="AU103" i="32"/>
  <c r="AV103" i="32"/>
  <c r="AW103" i="32"/>
  <c r="AX103" i="32"/>
  <c r="AY103" i="32"/>
  <c r="AZ103" i="32"/>
  <c r="BA103" i="32"/>
  <c r="BB103" i="32"/>
  <c r="BC103" i="32"/>
  <c r="BD103" i="32"/>
  <c r="BE103" i="32"/>
  <c r="BF103" i="32"/>
  <c r="BG103" i="32"/>
  <c r="BH103" i="32"/>
  <c r="BI103" i="32"/>
  <c r="BJ103" i="32"/>
  <c r="BK103" i="32"/>
  <c r="BL103" i="32"/>
  <c r="BM103" i="32"/>
  <c r="BN103" i="32"/>
  <c r="BO103" i="32"/>
  <c r="BP103" i="32"/>
  <c r="BQ103" i="32"/>
  <c r="BR103" i="32"/>
  <c r="BS103" i="32"/>
  <c r="BT103" i="32"/>
  <c r="BU103" i="32"/>
  <c r="BV103" i="32"/>
  <c r="BW103" i="32"/>
  <c r="BX103" i="32"/>
  <c r="BY103" i="32"/>
  <c r="BZ103" i="32"/>
  <c r="CA103" i="32"/>
  <c r="CB103" i="32"/>
  <c r="CC103" i="32"/>
  <c r="CD103" i="32"/>
  <c r="CE103" i="32"/>
  <c r="CF103" i="32"/>
  <c r="CG103" i="32"/>
  <c r="CH103" i="32"/>
  <c r="CI103" i="32"/>
  <c r="CJ103" i="32"/>
  <c r="CK103" i="32"/>
  <c r="CL103" i="32"/>
  <c r="CM103" i="32"/>
  <c r="CN103" i="32"/>
  <c r="CO103" i="32"/>
  <c r="CP103" i="32"/>
  <c r="CQ103" i="32"/>
  <c r="CR103" i="32"/>
  <c r="CS103" i="32"/>
  <c r="CT103" i="32"/>
  <c r="CU103" i="32"/>
  <c r="CV103" i="32"/>
  <c r="CW103" i="32"/>
  <c r="CX103" i="32"/>
  <c r="CY103" i="32"/>
  <c r="CZ103" i="32"/>
  <c r="DA103" i="32"/>
  <c r="DB103" i="32"/>
  <c r="DC103" i="32"/>
  <c r="DD103" i="32"/>
  <c r="DE103" i="32"/>
  <c r="DF103" i="32"/>
  <c r="DG103" i="32"/>
  <c r="DH103" i="32"/>
  <c r="DI103" i="32"/>
  <c r="DJ103" i="32"/>
  <c r="DK103" i="32"/>
  <c r="DL103" i="32"/>
  <c r="DM103" i="32"/>
  <c r="DN103" i="32"/>
  <c r="DO103" i="32"/>
  <c r="DP103" i="32"/>
  <c r="DQ103" i="32"/>
  <c r="DR103" i="32"/>
  <c r="DS103" i="32"/>
  <c r="DT103" i="32"/>
  <c r="DU103" i="32"/>
  <c r="DV103" i="32"/>
  <c r="DW103" i="32"/>
  <c r="DX103" i="32"/>
  <c r="DY103" i="32"/>
  <c r="DZ103" i="32"/>
  <c r="EA103" i="32"/>
  <c r="EB103" i="32"/>
  <c r="EC103" i="32"/>
  <c r="ED103" i="32"/>
  <c r="EE103" i="32"/>
  <c r="EF103" i="32"/>
  <c r="EG103" i="32"/>
  <c r="EH103" i="32"/>
  <c r="EI103" i="32"/>
  <c r="EJ103" i="32"/>
  <c r="EK103" i="32"/>
  <c r="EL103" i="32"/>
  <c r="EM103" i="32"/>
  <c r="EN103" i="32"/>
  <c r="EO103" i="32"/>
  <c r="EP103" i="32"/>
  <c r="EQ103" i="32"/>
  <c r="ER103" i="32"/>
  <c r="ES103" i="32"/>
  <c r="ET103" i="32"/>
  <c r="EU103" i="32"/>
  <c r="EV103" i="32"/>
  <c r="EW103" i="32"/>
  <c r="EX103" i="32"/>
  <c r="EY103" i="32"/>
  <c r="EZ103" i="32"/>
  <c r="FA103" i="32"/>
  <c r="FB103" i="32"/>
  <c r="FC103" i="32"/>
  <c r="FD103" i="32"/>
  <c r="FE103" i="32"/>
  <c r="FF103" i="32"/>
  <c r="FG103" i="32"/>
  <c r="FH103" i="32"/>
  <c r="FI103" i="32"/>
  <c r="FJ103" i="32"/>
  <c r="FK103" i="32"/>
  <c r="FL103" i="32"/>
  <c r="FM103" i="32"/>
  <c r="FN103" i="32"/>
  <c r="FO103" i="32"/>
  <c r="FP103" i="32"/>
  <c r="FQ103" i="32"/>
  <c r="FR103" i="32"/>
  <c r="FS103" i="32"/>
  <c r="FT103" i="32"/>
  <c r="FU103" i="32"/>
  <c r="FV103" i="32"/>
  <c r="FW103" i="32"/>
  <c r="FX103" i="32"/>
  <c r="FY103" i="32"/>
  <c r="FZ103" i="32"/>
  <c r="GA103" i="32"/>
  <c r="GB103" i="32"/>
  <c r="GC103" i="32"/>
  <c r="GD103" i="32"/>
  <c r="GE103" i="32"/>
  <c r="GF103" i="32"/>
  <c r="GG103" i="32"/>
  <c r="GH103" i="32"/>
  <c r="GI103" i="32"/>
  <c r="GJ103" i="32"/>
  <c r="GK103" i="32"/>
  <c r="GL103" i="32"/>
  <c r="GM103" i="32"/>
  <c r="GN103" i="32"/>
  <c r="GO103" i="32"/>
  <c r="GP103" i="32"/>
  <c r="GQ103" i="32"/>
  <c r="GR103" i="32"/>
  <c r="GS103" i="32"/>
  <c r="GT103" i="32"/>
  <c r="GU103" i="32"/>
  <c r="GV103" i="32"/>
  <c r="GW103" i="32"/>
  <c r="GX103" i="32"/>
  <c r="GY103" i="32"/>
  <c r="GZ103" i="32"/>
  <c r="HA103" i="32"/>
  <c r="HB103" i="32"/>
  <c r="HC103" i="32"/>
  <c r="HD103" i="32"/>
  <c r="HE103" i="32"/>
  <c r="HF103" i="32"/>
  <c r="HG103" i="32"/>
  <c r="HH103" i="32"/>
  <c r="HI103" i="32"/>
  <c r="HJ103" i="32"/>
  <c r="HK103" i="32"/>
  <c r="HL103" i="32"/>
  <c r="HM103" i="32"/>
  <c r="HN103" i="32"/>
  <c r="HO103" i="32"/>
  <c r="HP103" i="32"/>
  <c r="HQ103" i="32"/>
  <c r="HR103" i="32"/>
  <c r="HS103" i="32"/>
  <c r="HT103" i="32"/>
  <c r="HU103" i="32"/>
  <c r="HV103" i="32"/>
  <c r="HW103" i="32"/>
  <c r="HX103" i="32"/>
  <c r="HY103" i="32"/>
  <c r="HZ103" i="32"/>
  <c r="IA103" i="32"/>
  <c r="IB103" i="32"/>
  <c r="IC103" i="32"/>
  <c r="ID103" i="32"/>
  <c r="IE103" i="32"/>
  <c r="IF103" i="32"/>
  <c r="IG103" i="32"/>
  <c r="IH103" i="32"/>
  <c r="II103" i="32"/>
  <c r="IJ103" i="32"/>
  <c r="IK103" i="32"/>
  <c r="IL103" i="32"/>
  <c r="IM103" i="32"/>
  <c r="IN103" i="32"/>
  <c r="IO103" i="32"/>
  <c r="IP103" i="32"/>
  <c r="IQ103" i="32"/>
  <c r="IR103" i="32"/>
  <c r="IS103" i="32"/>
  <c r="IT103" i="32"/>
  <c r="IU103" i="32"/>
  <c r="IV103" i="32"/>
  <c r="A102" i="32"/>
  <c r="B102" i="32"/>
  <c r="C102" i="32"/>
  <c r="D102" i="32"/>
  <c r="E102" i="32"/>
  <c r="F102" i="32"/>
  <c r="G102" i="32"/>
  <c r="H102" i="32"/>
  <c r="I102" i="32"/>
  <c r="J102" i="32"/>
  <c r="K102" i="32"/>
  <c r="L102" i="32"/>
  <c r="M102" i="32"/>
  <c r="N102" i="32"/>
  <c r="O102" i="32"/>
  <c r="P102" i="32"/>
  <c r="Q102" i="32"/>
  <c r="R102" i="32"/>
  <c r="S102" i="32"/>
  <c r="T102" i="32"/>
  <c r="U102" i="32"/>
  <c r="V102" i="32"/>
  <c r="W102" i="32"/>
  <c r="X102" i="32"/>
  <c r="Y102" i="32"/>
  <c r="Z102" i="32"/>
  <c r="AA102" i="32"/>
  <c r="AB102" i="32"/>
  <c r="AC102" i="32"/>
  <c r="AD102" i="32"/>
  <c r="AE102" i="32"/>
  <c r="AF102" i="32"/>
  <c r="AG102" i="32"/>
  <c r="AH102" i="32"/>
  <c r="AI102" i="32"/>
  <c r="AJ102" i="32"/>
  <c r="AK102" i="32"/>
  <c r="AL102" i="32"/>
  <c r="AM102" i="32"/>
  <c r="AN102" i="32"/>
  <c r="AO102" i="32"/>
  <c r="AP102" i="32"/>
  <c r="AQ102" i="32"/>
  <c r="AR102" i="32"/>
  <c r="AS102" i="32"/>
  <c r="AT102" i="32"/>
  <c r="AU102" i="32"/>
  <c r="AV102" i="32"/>
  <c r="AW102" i="32"/>
  <c r="AX102" i="32"/>
  <c r="AY102" i="32"/>
  <c r="AZ102" i="32"/>
  <c r="BA102" i="32"/>
  <c r="BB102" i="32"/>
  <c r="BC102" i="32"/>
  <c r="BD102" i="32"/>
  <c r="BE102" i="32"/>
  <c r="BF102" i="32"/>
  <c r="BG102" i="32"/>
  <c r="BH102" i="32"/>
  <c r="BI102" i="32"/>
  <c r="BJ102" i="32"/>
  <c r="BK102" i="32"/>
  <c r="BL102" i="32"/>
  <c r="BM102" i="32"/>
  <c r="BN102" i="32"/>
  <c r="BO102" i="32"/>
  <c r="BP102" i="32"/>
  <c r="BQ102" i="32"/>
  <c r="BR102" i="32"/>
  <c r="BS102" i="32"/>
  <c r="BT102" i="32"/>
  <c r="BU102" i="32"/>
  <c r="BV102" i="32"/>
  <c r="BW102" i="32"/>
  <c r="BX102" i="32"/>
  <c r="BY102" i="32"/>
  <c r="BZ102" i="32"/>
  <c r="CA102" i="32"/>
  <c r="CB102" i="32"/>
  <c r="CC102" i="32"/>
  <c r="CD102" i="32"/>
  <c r="CE102" i="32"/>
  <c r="CF102" i="32"/>
  <c r="CG102" i="32"/>
  <c r="CH102" i="32"/>
  <c r="CI102" i="32"/>
  <c r="CJ102" i="32"/>
  <c r="CK102" i="32"/>
  <c r="CL102" i="32"/>
  <c r="CM102" i="32"/>
  <c r="CN102" i="32"/>
  <c r="CO102" i="32"/>
  <c r="CP102" i="32"/>
  <c r="CQ102" i="32"/>
  <c r="CR102" i="32"/>
  <c r="CS102" i="32"/>
  <c r="CT102" i="32"/>
  <c r="CU102" i="32"/>
  <c r="CV102" i="32"/>
  <c r="CW102" i="32"/>
  <c r="CX102" i="32"/>
  <c r="CY102" i="32"/>
  <c r="CZ102" i="32"/>
  <c r="DA102" i="32"/>
  <c r="DB102" i="32"/>
  <c r="DC102" i="32"/>
  <c r="DD102" i="32"/>
  <c r="DE102" i="32"/>
  <c r="DF102" i="32"/>
  <c r="DG102" i="32"/>
  <c r="DH102" i="32"/>
  <c r="DI102" i="32"/>
  <c r="DJ102" i="32"/>
  <c r="DK102" i="32"/>
  <c r="DL102" i="32"/>
  <c r="DM102" i="32"/>
  <c r="DN102" i="32"/>
  <c r="DO102" i="32"/>
  <c r="DP102" i="32"/>
  <c r="DQ102" i="32"/>
  <c r="DR102" i="32"/>
  <c r="DS102" i="32"/>
  <c r="DT102" i="32"/>
  <c r="DU102" i="32"/>
  <c r="DV102" i="32"/>
  <c r="DW102" i="32"/>
  <c r="DX102" i="32"/>
  <c r="DY102" i="32"/>
  <c r="DZ102" i="32"/>
  <c r="EA102" i="32"/>
  <c r="EB102" i="32"/>
  <c r="EC102" i="32"/>
  <c r="ED102" i="32"/>
  <c r="EE102" i="32"/>
  <c r="EF102" i="32"/>
  <c r="EG102" i="32"/>
  <c r="EH102" i="32"/>
  <c r="EI102" i="32"/>
  <c r="EJ102" i="32"/>
  <c r="EK102" i="32"/>
  <c r="EL102" i="32"/>
  <c r="EM102" i="32"/>
  <c r="EN102" i="32"/>
  <c r="EO102" i="32"/>
  <c r="EP102" i="32"/>
  <c r="EQ102" i="32"/>
  <c r="ER102" i="32"/>
  <c r="ES102" i="32"/>
  <c r="ET102" i="32"/>
  <c r="EU102" i="32"/>
  <c r="EV102" i="32"/>
  <c r="EW102" i="32"/>
  <c r="EX102" i="32"/>
  <c r="EY102" i="32"/>
  <c r="EZ102" i="32"/>
  <c r="FA102" i="32"/>
  <c r="FB102" i="32"/>
  <c r="FC102" i="32"/>
  <c r="FD102" i="32"/>
  <c r="FE102" i="32"/>
  <c r="FF102" i="32"/>
  <c r="FG102" i="32"/>
  <c r="FH102" i="32"/>
  <c r="FI102" i="32"/>
  <c r="FJ102" i="32"/>
  <c r="FK102" i="32"/>
  <c r="FL102" i="32"/>
  <c r="FM102" i="32"/>
  <c r="FN102" i="32"/>
  <c r="FO102" i="32"/>
  <c r="FP102" i="32"/>
  <c r="FQ102" i="32"/>
  <c r="FR102" i="32"/>
  <c r="FS102" i="32"/>
  <c r="FT102" i="32"/>
  <c r="FU102" i="32"/>
  <c r="FV102" i="32"/>
  <c r="FW102" i="32"/>
  <c r="FX102" i="32"/>
  <c r="FY102" i="32"/>
  <c r="FZ102" i="32"/>
  <c r="GA102" i="32"/>
  <c r="GB102" i="32"/>
  <c r="GC102" i="32"/>
  <c r="GD102" i="32"/>
  <c r="GE102" i="32"/>
  <c r="GF102" i="32"/>
  <c r="GG102" i="32"/>
  <c r="GH102" i="32"/>
  <c r="GI102" i="32"/>
  <c r="GJ102" i="32"/>
  <c r="GK102" i="32"/>
  <c r="GL102" i="32"/>
  <c r="GM102" i="32"/>
  <c r="GN102" i="32"/>
  <c r="GO102" i="32"/>
  <c r="GP102" i="32"/>
  <c r="GQ102" i="32"/>
  <c r="GR102" i="32"/>
  <c r="GS102" i="32"/>
  <c r="GT102" i="32"/>
  <c r="GU102" i="32"/>
  <c r="GV102" i="32"/>
  <c r="GW102" i="32"/>
  <c r="GX102" i="32"/>
  <c r="GY102" i="32"/>
  <c r="GZ102" i="32"/>
  <c r="HA102" i="32"/>
  <c r="HB102" i="32"/>
  <c r="HC102" i="32"/>
  <c r="HD102" i="32"/>
  <c r="HE102" i="32"/>
  <c r="HF102" i="32"/>
  <c r="HG102" i="32"/>
  <c r="HH102" i="32"/>
  <c r="HI102" i="32"/>
  <c r="HJ102" i="32"/>
  <c r="HK102" i="32"/>
  <c r="HL102" i="32"/>
  <c r="HM102" i="32"/>
  <c r="HN102" i="32"/>
  <c r="HO102" i="32"/>
  <c r="HP102" i="32"/>
  <c r="HQ102" i="32"/>
  <c r="HR102" i="32"/>
  <c r="HS102" i="32"/>
  <c r="HT102" i="32"/>
  <c r="HU102" i="32"/>
  <c r="HV102" i="32"/>
  <c r="HW102" i="32"/>
  <c r="HX102" i="32"/>
  <c r="HY102" i="32"/>
  <c r="HZ102" i="32"/>
  <c r="IA102" i="32"/>
  <c r="IB102" i="32"/>
  <c r="IC102" i="32"/>
  <c r="ID102" i="32"/>
  <c r="IE102" i="32"/>
  <c r="IF102" i="32"/>
  <c r="IG102" i="32"/>
  <c r="IH102" i="32"/>
  <c r="II102" i="32"/>
  <c r="IJ102" i="32"/>
  <c r="IK102" i="32"/>
  <c r="IL102" i="32"/>
  <c r="IM102" i="32"/>
  <c r="IN102" i="32"/>
  <c r="IO102" i="32"/>
  <c r="IP102" i="32"/>
  <c r="IQ102" i="32"/>
  <c r="IR102" i="32"/>
  <c r="IS102" i="32"/>
  <c r="IT102" i="32"/>
  <c r="IU102" i="32"/>
  <c r="IV102" i="32"/>
  <c r="A101" i="32"/>
  <c r="B101" i="32"/>
  <c r="C101" i="32"/>
  <c r="D101" i="32"/>
  <c r="E101" i="32"/>
  <c r="F101" i="32"/>
  <c r="G101" i="32"/>
  <c r="H101" i="32"/>
  <c r="I101" i="32"/>
  <c r="J101" i="32"/>
  <c r="K101" i="32"/>
  <c r="L101" i="32"/>
  <c r="M101" i="32"/>
  <c r="N101" i="32"/>
  <c r="O101" i="32"/>
  <c r="P101" i="32"/>
  <c r="Q101" i="32"/>
  <c r="R101" i="32"/>
  <c r="S101" i="32"/>
  <c r="T101" i="32"/>
  <c r="U101" i="32"/>
  <c r="V101" i="32"/>
  <c r="W101" i="32"/>
  <c r="X101" i="32"/>
  <c r="Y101" i="32"/>
  <c r="Z101" i="32"/>
  <c r="AA101" i="32"/>
  <c r="AB101" i="32"/>
  <c r="AC101" i="32"/>
  <c r="AD101" i="32"/>
  <c r="AE101" i="32"/>
  <c r="AF101" i="32"/>
  <c r="AG101" i="32"/>
  <c r="AH101" i="32"/>
  <c r="AI101" i="32"/>
  <c r="AJ101" i="32"/>
  <c r="AK101" i="32"/>
  <c r="AL101" i="32"/>
  <c r="AM101" i="32"/>
  <c r="AN101" i="32"/>
  <c r="AO101" i="32"/>
  <c r="AP101" i="32"/>
  <c r="AQ101" i="32"/>
  <c r="AR101" i="32"/>
  <c r="AS101" i="32"/>
  <c r="AT101" i="32"/>
  <c r="AU101" i="32"/>
  <c r="AV101" i="32"/>
  <c r="AW101" i="32"/>
  <c r="AX101" i="32"/>
  <c r="AY101" i="32"/>
  <c r="AZ101" i="32"/>
  <c r="BA101" i="32"/>
  <c r="BB101" i="32"/>
  <c r="BC101" i="32"/>
  <c r="BD101" i="32"/>
  <c r="BE101" i="32"/>
  <c r="BF101" i="32"/>
  <c r="BG101" i="32"/>
  <c r="BH101" i="32"/>
  <c r="BI101" i="32"/>
  <c r="BJ101" i="32"/>
  <c r="BK101" i="32"/>
  <c r="BL101" i="32"/>
  <c r="BM101" i="32"/>
  <c r="BN101" i="32"/>
  <c r="BO101" i="32"/>
  <c r="BP101" i="32"/>
  <c r="BQ101" i="32"/>
  <c r="BR101" i="32"/>
  <c r="BS101" i="32"/>
  <c r="BT101" i="32"/>
  <c r="BU101" i="32"/>
  <c r="BV101" i="32"/>
  <c r="BW101" i="32"/>
  <c r="BX101" i="32"/>
  <c r="BY101" i="32"/>
  <c r="BZ101" i="32"/>
  <c r="CA101" i="32"/>
  <c r="CB101" i="32"/>
  <c r="CC101" i="32"/>
  <c r="CD101" i="32"/>
  <c r="CE101" i="32"/>
  <c r="CF101" i="32"/>
  <c r="CG101" i="32"/>
  <c r="CH101" i="32"/>
  <c r="CI101" i="32"/>
  <c r="CJ101" i="32"/>
  <c r="CK101" i="32"/>
  <c r="CL101" i="32"/>
  <c r="CM101" i="32"/>
  <c r="CN101" i="32"/>
  <c r="CO101" i="32"/>
  <c r="CP101" i="32"/>
  <c r="CQ101" i="32"/>
  <c r="CR101" i="32"/>
  <c r="CS101" i="32"/>
  <c r="CT101" i="32"/>
  <c r="CU101" i="32"/>
  <c r="CV101" i="32"/>
  <c r="CW101" i="32"/>
  <c r="CX101" i="32"/>
  <c r="CY101" i="32"/>
  <c r="CZ101" i="32"/>
  <c r="DA101" i="32"/>
  <c r="DB101" i="32"/>
  <c r="DC101" i="32"/>
  <c r="DD101" i="32"/>
  <c r="DE101" i="32"/>
  <c r="DF101" i="32"/>
  <c r="DG101" i="32"/>
  <c r="DH101" i="32"/>
  <c r="DI101" i="32"/>
  <c r="DJ101" i="32"/>
  <c r="DK101" i="32"/>
  <c r="DL101" i="32"/>
  <c r="DM101" i="32"/>
  <c r="DN101" i="32"/>
  <c r="DO101" i="32"/>
  <c r="DP101" i="32"/>
  <c r="DQ101" i="32"/>
  <c r="DR101" i="32"/>
  <c r="DS101" i="32"/>
  <c r="DT101" i="32"/>
  <c r="DU101" i="32"/>
  <c r="DV101" i="32"/>
  <c r="DW101" i="32"/>
  <c r="DX101" i="32"/>
  <c r="DY101" i="32"/>
  <c r="DZ101" i="32"/>
  <c r="EA101" i="32"/>
  <c r="EB101" i="32"/>
  <c r="EC101" i="32"/>
  <c r="ED101" i="32"/>
  <c r="EE101" i="32"/>
  <c r="EF101" i="32"/>
  <c r="EG101" i="32"/>
  <c r="EH101" i="32"/>
  <c r="EI101" i="32"/>
  <c r="EJ101" i="32"/>
  <c r="EK101" i="32"/>
  <c r="EL101" i="32"/>
  <c r="EM101" i="32"/>
  <c r="EN101" i="32"/>
  <c r="EO101" i="32"/>
  <c r="EP101" i="32"/>
  <c r="EQ101" i="32"/>
  <c r="ER101" i="32"/>
  <c r="ES101" i="32"/>
  <c r="ET101" i="32"/>
  <c r="EU101" i="32"/>
  <c r="EV101" i="32"/>
  <c r="EW101" i="32"/>
  <c r="EX101" i="32"/>
  <c r="EY101" i="32"/>
  <c r="EZ101" i="32"/>
  <c r="FA101" i="32"/>
  <c r="FB101" i="32"/>
  <c r="FC101" i="32"/>
  <c r="FD101" i="32"/>
  <c r="FE101" i="32"/>
  <c r="FF101" i="32"/>
  <c r="FG101" i="32"/>
  <c r="FH101" i="32"/>
  <c r="FI101" i="32"/>
  <c r="FJ101" i="32"/>
  <c r="FK101" i="32"/>
  <c r="FL101" i="32"/>
  <c r="FM101" i="32"/>
  <c r="FN101" i="32"/>
  <c r="FO101" i="32"/>
  <c r="FP101" i="32"/>
  <c r="FQ101" i="32"/>
  <c r="FR101" i="32"/>
  <c r="FS101" i="32"/>
  <c r="FT101" i="32"/>
  <c r="FU101" i="32"/>
  <c r="FV101" i="32"/>
  <c r="FW101" i="32"/>
  <c r="FX101" i="32"/>
  <c r="FY101" i="32"/>
  <c r="FZ101" i="32"/>
  <c r="GA101" i="32"/>
  <c r="GB101" i="32"/>
  <c r="GC101" i="32"/>
  <c r="GD101" i="32"/>
  <c r="GE101" i="32"/>
  <c r="GF101" i="32"/>
  <c r="GG101" i="32"/>
  <c r="GH101" i="32"/>
  <c r="GI101" i="32"/>
  <c r="GJ101" i="32"/>
  <c r="GK101" i="32"/>
  <c r="GL101" i="32"/>
  <c r="GM101" i="32"/>
  <c r="GN101" i="32"/>
  <c r="GO101" i="32"/>
  <c r="GP101" i="32"/>
  <c r="GQ101" i="32"/>
  <c r="GR101" i="32"/>
  <c r="GS101" i="32"/>
  <c r="GT101" i="32"/>
  <c r="GU101" i="32"/>
  <c r="GV101" i="32"/>
  <c r="GW101" i="32"/>
  <c r="GX101" i="32"/>
  <c r="GY101" i="32"/>
  <c r="GZ101" i="32"/>
  <c r="HA101" i="32"/>
  <c r="HB101" i="32"/>
  <c r="HC101" i="32"/>
  <c r="HD101" i="32"/>
  <c r="HE101" i="32"/>
  <c r="HF101" i="32"/>
  <c r="HG101" i="32"/>
  <c r="HH101" i="32"/>
  <c r="HI101" i="32"/>
  <c r="HJ101" i="32"/>
  <c r="HK101" i="32"/>
  <c r="HL101" i="32"/>
  <c r="HM101" i="32"/>
  <c r="HN101" i="32"/>
  <c r="HO101" i="32"/>
  <c r="HP101" i="32"/>
  <c r="HQ101" i="32"/>
  <c r="HR101" i="32"/>
  <c r="HS101" i="32"/>
  <c r="HT101" i="32"/>
  <c r="HU101" i="32"/>
  <c r="HV101" i="32"/>
  <c r="HW101" i="32"/>
  <c r="HX101" i="32"/>
  <c r="HY101" i="32"/>
  <c r="HZ101" i="32"/>
  <c r="IA101" i="32"/>
  <c r="IB101" i="32"/>
  <c r="IC101" i="32"/>
  <c r="ID101" i="32"/>
  <c r="IE101" i="32"/>
  <c r="IF101" i="32"/>
  <c r="IG101" i="32"/>
  <c r="IH101" i="32"/>
  <c r="II101" i="32"/>
  <c r="IJ101" i="32"/>
  <c r="IK101" i="32"/>
  <c r="IL101" i="32"/>
  <c r="IM101" i="32"/>
  <c r="IN101" i="32"/>
  <c r="IO101" i="32"/>
  <c r="IP101" i="32"/>
  <c r="IQ101" i="32"/>
  <c r="IR101" i="32"/>
  <c r="IS101" i="32"/>
  <c r="IT101" i="32"/>
  <c r="IU101" i="32"/>
  <c r="IV101" i="32"/>
  <c r="A100" i="32"/>
  <c r="B100" i="32"/>
  <c r="C100" i="32"/>
  <c r="D100" i="32"/>
  <c r="E100" i="32"/>
  <c r="F100" i="32"/>
  <c r="G100" i="32"/>
  <c r="H100" i="32"/>
  <c r="I100" i="32"/>
  <c r="J100" i="32"/>
  <c r="K100" i="32"/>
  <c r="L100" i="32"/>
  <c r="M100" i="32"/>
  <c r="N100" i="32"/>
  <c r="O100" i="32"/>
  <c r="P100" i="32"/>
  <c r="Q100" i="32"/>
  <c r="R100" i="32"/>
  <c r="S100" i="32"/>
  <c r="T100" i="32"/>
  <c r="U100" i="32"/>
  <c r="V100" i="32"/>
  <c r="W100" i="32"/>
  <c r="X100" i="32"/>
  <c r="Y100" i="32"/>
  <c r="Z100" i="32"/>
  <c r="AA100" i="32"/>
  <c r="AB100" i="32"/>
  <c r="AC100" i="32"/>
  <c r="AD100" i="32"/>
  <c r="AE100" i="32"/>
  <c r="AF100" i="32"/>
  <c r="AG100" i="32"/>
  <c r="AH100" i="32"/>
  <c r="AI100" i="32"/>
  <c r="AJ100" i="32"/>
  <c r="AK100" i="32"/>
  <c r="AL100" i="32"/>
  <c r="AM100" i="32"/>
  <c r="AN100" i="32"/>
  <c r="AO100" i="32"/>
  <c r="AP100" i="32"/>
  <c r="AQ100" i="32"/>
  <c r="AR100" i="32"/>
  <c r="AS100" i="32"/>
  <c r="AT100" i="32"/>
  <c r="AU100" i="32"/>
  <c r="AV100" i="32"/>
  <c r="AW100" i="32"/>
  <c r="AX100" i="32"/>
  <c r="AY100" i="32"/>
  <c r="AZ100" i="32"/>
  <c r="BA100" i="32"/>
  <c r="BB100" i="32"/>
  <c r="BC100" i="32"/>
  <c r="BD100" i="32"/>
  <c r="BE100" i="32"/>
  <c r="BF100" i="32"/>
  <c r="BG100" i="32"/>
  <c r="BH100" i="32"/>
  <c r="BI100" i="32"/>
  <c r="BJ100" i="32"/>
  <c r="BK100" i="32"/>
  <c r="BL100" i="32"/>
  <c r="BM100" i="32"/>
  <c r="BN100" i="32"/>
  <c r="BO100" i="32"/>
  <c r="BP100" i="32"/>
  <c r="BQ100" i="32"/>
  <c r="BR100" i="32"/>
  <c r="BS100" i="32"/>
  <c r="BT100" i="32"/>
  <c r="BU100" i="32"/>
  <c r="BV100" i="32"/>
  <c r="BW100" i="32"/>
  <c r="BX100" i="32"/>
  <c r="BY100" i="32"/>
  <c r="BZ100" i="32"/>
  <c r="CA100" i="32"/>
  <c r="CB100" i="32"/>
  <c r="CC100" i="32"/>
  <c r="CD100" i="32"/>
  <c r="CE100" i="32"/>
  <c r="CF100" i="32"/>
  <c r="CG100" i="32"/>
  <c r="CH100" i="32"/>
  <c r="CI100" i="32"/>
  <c r="CJ100" i="32"/>
  <c r="CK100" i="32"/>
  <c r="CL100" i="32"/>
  <c r="CM100" i="32"/>
  <c r="CN100" i="32"/>
  <c r="CO100" i="32"/>
  <c r="CP100" i="32"/>
  <c r="CQ100" i="32"/>
  <c r="CR100" i="32"/>
  <c r="CS100" i="32"/>
  <c r="CT100" i="32"/>
  <c r="CU100" i="32"/>
  <c r="CV100" i="32"/>
  <c r="CW100" i="32"/>
  <c r="CX100" i="32"/>
  <c r="CY100" i="32"/>
  <c r="CZ100" i="32"/>
  <c r="DA100" i="32"/>
  <c r="DB100" i="32"/>
  <c r="DC100" i="32"/>
  <c r="DD100" i="32"/>
  <c r="DE100" i="32"/>
  <c r="DF100" i="32"/>
  <c r="DG100" i="32"/>
  <c r="DH100" i="32"/>
  <c r="DI100" i="32"/>
  <c r="DJ100" i="32"/>
  <c r="DK100" i="32"/>
  <c r="DL100" i="32"/>
  <c r="DM100" i="32"/>
  <c r="DN100" i="32"/>
  <c r="DO100" i="32"/>
  <c r="DP100" i="32"/>
  <c r="DQ100" i="32"/>
  <c r="DR100" i="32"/>
  <c r="DS100" i="32"/>
  <c r="DT100" i="32"/>
  <c r="DU100" i="32"/>
  <c r="DV100" i="32"/>
  <c r="DW100" i="32"/>
  <c r="DX100" i="32"/>
  <c r="DY100" i="32"/>
  <c r="DZ100" i="32"/>
  <c r="EA100" i="32"/>
  <c r="EB100" i="32"/>
  <c r="EC100" i="32"/>
  <c r="ED100" i="32"/>
  <c r="EE100" i="32"/>
  <c r="EF100" i="32"/>
  <c r="EG100" i="32"/>
  <c r="EH100" i="32"/>
  <c r="EI100" i="32"/>
  <c r="EJ100" i="32"/>
  <c r="EK100" i="32"/>
  <c r="EL100" i="32"/>
  <c r="EM100" i="32"/>
  <c r="EN100" i="32"/>
  <c r="EO100" i="32"/>
  <c r="EP100" i="32"/>
  <c r="EQ100" i="32"/>
  <c r="ER100" i="32"/>
  <c r="ES100" i="32"/>
  <c r="ET100" i="32"/>
  <c r="EU100" i="32"/>
  <c r="EV100" i="32"/>
  <c r="EW100" i="32"/>
  <c r="EX100" i="32"/>
  <c r="EY100" i="32"/>
  <c r="EZ100" i="32"/>
  <c r="FA100" i="32"/>
  <c r="FB100" i="32"/>
  <c r="FC100" i="32"/>
  <c r="FD100" i="32"/>
  <c r="FE100" i="32"/>
  <c r="FF100" i="32"/>
  <c r="FG100" i="32"/>
  <c r="FH100" i="32"/>
  <c r="FI100" i="32"/>
  <c r="FJ100" i="32"/>
  <c r="FK100" i="32"/>
  <c r="FL100" i="32"/>
  <c r="FM100" i="32"/>
  <c r="FN100" i="32"/>
  <c r="FO100" i="32"/>
  <c r="FP100" i="32"/>
  <c r="FQ100" i="32"/>
  <c r="FR100" i="32"/>
  <c r="FS100" i="32"/>
  <c r="FT100" i="32"/>
  <c r="FU100" i="32"/>
  <c r="FV100" i="32"/>
  <c r="FW100" i="32"/>
  <c r="FX100" i="32"/>
  <c r="FY100" i="32"/>
  <c r="FZ100" i="32"/>
  <c r="GA100" i="32"/>
  <c r="GB100" i="32"/>
  <c r="GC100" i="32"/>
  <c r="GD100" i="32"/>
  <c r="GE100" i="32"/>
  <c r="GF100" i="32"/>
  <c r="GG100" i="32"/>
  <c r="GH100" i="32"/>
  <c r="GI100" i="32"/>
  <c r="GJ100" i="32"/>
  <c r="GK100" i="32"/>
  <c r="GL100" i="32"/>
  <c r="GM100" i="32"/>
  <c r="GN100" i="32"/>
  <c r="GO100" i="32"/>
  <c r="GP100" i="32"/>
  <c r="GQ100" i="32"/>
  <c r="GR100" i="32"/>
  <c r="GS100" i="32"/>
  <c r="GT100" i="32"/>
  <c r="GU100" i="32"/>
  <c r="GV100" i="32"/>
  <c r="GW100" i="32"/>
  <c r="GX100" i="32"/>
  <c r="GY100" i="32"/>
  <c r="GZ100" i="32"/>
  <c r="HA100" i="32"/>
  <c r="HB100" i="32"/>
  <c r="HC100" i="32"/>
  <c r="HD100" i="32"/>
  <c r="HE100" i="32"/>
  <c r="HF100" i="32"/>
  <c r="HG100" i="32"/>
  <c r="HH100" i="32"/>
  <c r="HI100" i="32"/>
  <c r="HJ100" i="32"/>
  <c r="HK100" i="32"/>
  <c r="HL100" i="32"/>
  <c r="HM100" i="32"/>
  <c r="HN100" i="32"/>
  <c r="HO100" i="32"/>
  <c r="HP100" i="32"/>
  <c r="HQ100" i="32"/>
  <c r="HR100" i="32"/>
  <c r="HS100" i="32"/>
  <c r="HT100" i="32"/>
  <c r="HU100" i="32"/>
  <c r="HV100" i="32"/>
  <c r="HW100" i="32"/>
  <c r="HX100" i="32"/>
  <c r="HY100" i="32"/>
  <c r="HZ100" i="32"/>
  <c r="IA100" i="32"/>
  <c r="IB100" i="32"/>
  <c r="IC100" i="32"/>
  <c r="ID100" i="32"/>
  <c r="IE100" i="32"/>
  <c r="IF100" i="32"/>
  <c r="IG100" i="32"/>
  <c r="IH100" i="32"/>
  <c r="II100" i="32"/>
  <c r="IJ100" i="32"/>
  <c r="IK100" i="32"/>
  <c r="IL100" i="32"/>
  <c r="IM100" i="32"/>
  <c r="IN100" i="32"/>
  <c r="IO100" i="32"/>
  <c r="IP100" i="32"/>
  <c r="IQ100" i="32"/>
  <c r="IR100" i="32"/>
  <c r="IS100" i="32"/>
  <c r="IT100" i="32"/>
  <c r="IU100" i="32"/>
  <c r="IV100" i="32"/>
  <c r="A99" i="32"/>
  <c r="B99" i="32"/>
  <c r="C99" i="32"/>
  <c r="D99" i="32"/>
  <c r="E99" i="32"/>
  <c r="F99" i="32"/>
  <c r="G99" i="32"/>
  <c r="H99" i="32"/>
  <c r="I99" i="32"/>
  <c r="J99" i="32"/>
  <c r="K99" i="32"/>
  <c r="L99" i="32"/>
  <c r="M99" i="32"/>
  <c r="N99" i="32"/>
  <c r="O99" i="32"/>
  <c r="P99" i="32"/>
  <c r="Q99" i="32"/>
  <c r="R99" i="32"/>
  <c r="S99" i="32"/>
  <c r="T99" i="32"/>
  <c r="U99" i="32"/>
  <c r="V99" i="32"/>
  <c r="W99" i="32"/>
  <c r="X99" i="32"/>
  <c r="Y99" i="32"/>
  <c r="Z99" i="32"/>
  <c r="AA99" i="32"/>
  <c r="AB99" i="32"/>
  <c r="AC99" i="32"/>
  <c r="AD99" i="32"/>
  <c r="AE99" i="32"/>
  <c r="AF99" i="32"/>
  <c r="AG99" i="32"/>
  <c r="AH99" i="32"/>
  <c r="AI99" i="32"/>
  <c r="AJ99" i="32"/>
  <c r="AK99" i="32"/>
  <c r="AL99" i="32"/>
  <c r="AM99" i="32"/>
  <c r="AN99" i="32"/>
  <c r="AO99" i="32"/>
  <c r="AP99" i="32"/>
  <c r="AQ99" i="32"/>
  <c r="AR99" i="32"/>
  <c r="AS99" i="32"/>
  <c r="AT99" i="32"/>
  <c r="AU99" i="32"/>
  <c r="AV99" i="32"/>
  <c r="AW99" i="32"/>
  <c r="AX99" i="32"/>
  <c r="AY99" i="32"/>
  <c r="AZ99" i="32"/>
  <c r="BA99" i="32"/>
  <c r="BB99" i="32"/>
  <c r="BC99" i="32"/>
  <c r="BD99" i="32"/>
  <c r="BE99" i="32"/>
  <c r="BF99" i="32"/>
  <c r="BG99" i="32"/>
  <c r="BH99" i="32"/>
  <c r="BI99" i="32"/>
  <c r="BJ99" i="32"/>
  <c r="BK99" i="32"/>
  <c r="BL99" i="32"/>
  <c r="BM99" i="32"/>
  <c r="BN99" i="32"/>
  <c r="BO99" i="32"/>
  <c r="BP99" i="32"/>
  <c r="BQ99" i="32"/>
  <c r="BR99" i="32"/>
  <c r="BS99" i="32"/>
  <c r="BT99" i="32"/>
  <c r="BU99" i="32"/>
  <c r="BV99" i="32"/>
  <c r="BW99" i="32"/>
  <c r="BX99" i="32"/>
  <c r="BY99" i="32"/>
  <c r="BZ99" i="32"/>
  <c r="CA99" i="32"/>
  <c r="CB99" i="32"/>
  <c r="CC99" i="32"/>
  <c r="CD99" i="32"/>
  <c r="CE99" i="32"/>
  <c r="CF99" i="32"/>
  <c r="CG99" i="32"/>
  <c r="CH99" i="32"/>
  <c r="CI99" i="32"/>
  <c r="CJ99" i="32"/>
  <c r="CK99" i="32"/>
  <c r="CL99" i="32"/>
  <c r="CM99" i="32"/>
  <c r="CN99" i="32"/>
  <c r="CO99" i="32"/>
  <c r="CP99" i="32"/>
  <c r="CQ99" i="32"/>
  <c r="CR99" i="32"/>
  <c r="CS99" i="32"/>
  <c r="CT99" i="32"/>
  <c r="CU99" i="32"/>
  <c r="CV99" i="32"/>
  <c r="CW99" i="32"/>
  <c r="CX99" i="32"/>
  <c r="CY99" i="32"/>
  <c r="CZ99" i="32"/>
  <c r="DA99" i="32"/>
  <c r="DB99" i="32"/>
  <c r="DC99" i="32"/>
  <c r="DD99" i="32"/>
  <c r="DE99" i="32"/>
  <c r="DF99" i="32"/>
  <c r="DG99" i="32"/>
  <c r="DH99" i="32"/>
  <c r="DI99" i="32"/>
  <c r="DJ99" i="32"/>
  <c r="DK99" i="32"/>
  <c r="DL99" i="32"/>
  <c r="DM99" i="32"/>
  <c r="DN99" i="32"/>
  <c r="DO99" i="32"/>
  <c r="DP99" i="32"/>
  <c r="DQ99" i="32"/>
  <c r="DR99" i="32"/>
  <c r="DS99" i="32"/>
  <c r="DT99" i="32"/>
  <c r="DU99" i="32"/>
  <c r="DV99" i="32"/>
  <c r="DW99" i="32"/>
  <c r="DX99" i="32"/>
  <c r="DY99" i="32"/>
  <c r="DZ99" i="32"/>
  <c r="EA99" i="32"/>
  <c r="EB99" i="32"/>
  <c r="EC99" i="32"/>
  <c r="ED99" i="32"/>
  <c r="EE99" i="32"/>
  <c r="EF99" i="32"/>
  <c r="EG99" i="32"/>
  <c r="EH99" i="32"/>
  <c r="EI99" i="32"/>
  <c r="EJ99" i="32"/>
  <c r="EK99" i="32"/>
  <c r="EL99" i="32"/>
  <c r="EM99" i="32"/>
  <c r="EN99" i="32"/>
  <c r="EO99" i="32"/>
  <c r="EP99" i="32"/>
  <c r="EQ99" i="32"/>
  <c r="ER99" i="32"/>
  <c r="ES99" i="32"/>
  <c r="ET99" i="32"/>
  <c r="EU99" i="32"/>
  <c r="EV99" i="32"/>
  <c r="EW99" i="32"/>
  <c r="EX99" i="32"/>
  <c r="EY99" i="32"/>
  <c r="EZ99" i="32"/>
  <c r="FA99" i="32"/>
  <c r="FB99" i="32"/>
  <c r="FC99" i="32"/>
  <c r="FD99" i="32"/>
  <c r="FE99" i="32"/>
  <c r="FF99" i="32"/>
  <c r="FG99" i="32"/>
  <c r="FH99" i="32"/>
  <c r="FI99" i="32"/>
  <c r="FJ99" i="32"/>
  <c r="FK99" i="32"/>
  <c r="FL99" i="32"/>
  <c r="FM99" i="32"/>
  <c r="FN99" i="32"/>
  <c r="FO99" i="32"/>
  <c r="FP99" i="32"/>
  <c r="FQ99" i="32"/>
  <c r="FR99" i="32"/>
  <c r="FS99" i="32"/>
  <c r="FT99" i="32"/>
  <c r="FU99" i="32"/>
  <c r="FV99" i="32"/>
  <c r="FW99" i="32"/>
  <c r="FX99" i="32"/>
  <c r="FY99" i="32"/>
  <c r="FZ99" i="32"/>
  <c r="GA99" i="32"/>
  <c r="GB99" i="32"/>
  <c r="GC99" i="32"/>
  <c r="GD99" i="32"/>
  <c r="GE99" i="32"/>
  <c r="GF99" i="32"/>
  <c r="GG99" i="32"/>
  <c r="GH99" i="32"/>
  <c r="GI99" i="32"/>
  <c r="GJ99" i="32"/>
  <c r="GK99" i="32"/>
  <c r="GL99" i="32"/>
  <c r="GM99" i="32"/>
  <c r="GN99" i="32"/>
  <c r="GO99" i="32"/>
  <c r="GP99" i="32"/>
  <c r="GQ99" i="32"/>
  <c r="GR99" i="32"/>
  <c r="GS99" i="32"/>
  <c r="GT99" i="32"/>
  <c r="GU99" i="32"/>
  <c r="GV99" i="32"/>
  <c r="GW99" i="32"/>
  <c r="GX99" i="32"/>
  <c r="GY99" i="32"/>
  <c r="GZ99" i="32"/>
  <c r="HA99" i="32"/>
  <c r="HB99" i="32"/>
  <c r="HC99" i="32"/>
  <c r="HD99" i="32"/>
  <c r="HE99" i="32"/>
  <c r="HF99" i="32"/>
  <c r="HG99" i="32"/>
  <c r="HH99" i="32"/>
  <c r="HI99" i="32"/>
  <c r="HJ99" i="32"/>
  <c r="HK99" i="32"/>
  <c r="HL99" i="32"/>
  <c r="HM99" i="32"/>
  <c r="HN99" i="32"/>
  <c r="HO99" i="32"/>
  <c r="HP99" i="32"/>
  <c r="HQ99" i="32"/>
  <c r="HR99" i="32"/>
  <c r="HS99" i="32"/>
  <c r="HT99" i="32"/>
  <c r="HU99" i="32"/>
  <c r="HV99" i="32"/>
  <c r="HW99" i="32"/>
  <c r="HX99" i="32"/>
  <c r="HY99" i="32"/>
  <c r="HZ99" i="32"/>
  <c r="IA99" i="32"/>
  <c r="IB99" i="32"/>
  <c r="IC99" i="32"/>
  <c r="ID99" i="32"/>
  <c r="IE99" i="32"/>
  <c r="IF99" i="32"/>
  <c r="IG99" i="32"/>
  <c r="IH99" i="32"/>
  <c r="II99" i="32"/>
  <c r="IJ99" i="32"/>
  <c r="IK99" i="32"/>
  <c r="IL99" i="32"/>
  <c r="IM99" i="32"/>
  <c r="IN99" i="32"/>
  <c r="IO99" i="32"/>
  <c r="IP99" i="32"/>
  <c r="IQ99" i="32"/>
  <c r="IR99" i="32"/>
  <c r="IS99" i="32"/>
  <c r="IT99" i="32"/>
  <c r="IU99" i="32"/>
  <c r="IV99" i="32"/>
  <c r="A98" i="32"/>
  <c r="B98" i="32"/>
  <c r="C98" i="32"/>
  <c r="D98" i="32"/>
  <c r="E98" i="32"/>
  <c r="F98" i="32"/>
  <c r="G98" i="32"/>
  <c r="H98" i="32"/>
  <c r="I98" i="32"/>
  <c r="J98" i="32"/>
  <c r="K98" i="32"/>
  <c r="L98" i="32"/>
  <c r="M98" i="32"/>
  <c r="N98" i="32"/>
  <c r="O98" i="32"/>
  <c r="P98" i="32"/>
  <c r="Q98" i="32"/>
  <c r="R98" i="32"/>
  <c r="S98" i="32"/>
  <c r="T98" i="32"/>
  <c r="U98" i="32"/>
  <c r="V98" i="32"/>
  <c r="W98" i="32"/>
  <c r="X98" i="32"/>
  <c r="Y98" i="32"/>
  <c r="Z98" i="32"/>
  <c r="AA98" i="32"/>
  <c r="AB98" i="32"/>
  <c r="AC98" i="32"/>
  <c r="AD98" i="32"/>
  <c r="AE98" i="32"/>
  <c r="AF98" i="32"/>
  <c r="AG98" i="32"/>
  <c r="AH98" i="32"/>
  <c r="AI98" i="32"/>
  <c r="AJ98" i="32"/>
  <c r="AK98" i="32"/>
  <c r="AL98" i="32"/>
  <c r="AM98" i="32"/>
  <c r="AN98" i="32"/>
  <c r="AO98" i="32"/>
  <c r="AP98" i="32"/>
  <c r="AQ98" i="32"/>
  <c r="AR98" i="32"/>
  <c r="AS98" i="32"/>
  <c r="AT98" i="32"/>
  <c r="AU98" i="32"/>
  <c r="AV98" i="32"/>
  <c r="AW98" i="32"/>
  <c r="AX98" i="32"/>
  <c r="AY98" i="32"/>
  <c r="AZ98" i="32"/>
  <c r="BA98" i="32"/>
  <c r="BB98" i="32"/>
  <c r="BC98" i="32"/>
  <c r="BD98" i="32"/>
  <c r="BE98" i="32"/>
  <c r="BF98" i="32"/>
  <c r="BG98" i="32"/>
  <c r="BH98" i="32"/>
  <c r="BI98" i="32"/>
  <c r="BJ98" i="32"/>
  <c r="BK98" i="32"/>
  <c r="BL98" i="32"/>
  <c r="BM98" i="32"/>
  <c r="BN98" i="32"/>
  <c r="BO98" i="32"/>
  <c r="BP98" i="32"/>
  <c r="BQ98" i="32"/>
  <c r="BR98" i="32"/>
  <c r="BS98" i="32"/>
  <c r="BT98" i="32"/>
  <c r="BU98" i="32"/>
  <c r="BV98" i="32"/>
  <c r="BW98" i="32"/>
  <c r="BX98" i="32"/>
  <c r="BY98" i="32"/>
  <c r="BZ98" i="32"/>
  <c r="CA98" i="32"/>
  <c r="CB98" i="32"/>
  <c r="CC98" i="32"/>
  <c r="CD98" i="32"/>
  <c r="CE98" i="32"/>
  <c r="CF98" i="32"/>
  <c r="CG98" i="32"/>
  <c r="CH98" i="32"/>
  <c r="CI98" i="32"/>
  <c r="CJ98" i="32"/>
  <c r="CK98" i="32"/>
  <c r="CL98" i="32"/>
  <c r="CM98" i="32"/>
  <c r="CN98" i="32"/>
  <c r="CO98" i="32"/>
  <c r="CP98" i="32"/>
  <c r="CQ98" i="32"/>
  <c r="CR98" i="32"/>
  <c r="CS98" i="32"/>
  <c r="CT98" i="32"/>
  <c r="CU98" i="32"/>
  <c r="CV98" i="32"/>
  <c r="CW98" i="32"/>
  <c r="CX98" i="32"/>
  <c r="CY98" i="32"/>
  <c r="CZ98" i="32"/>
  <c r="DA98" i="32"/>
  <c r="DB98" i="32"/>
  <c r="DC98" i="32"/>
  <c r="DD98" i="32"/>
  <c r="DE98" i="32"/>
  <c r="DF98" i="32"/>
  <c r="DG98" i="32"/>
  <c r="DH98" i="32"/>
  <c r="DI98" i="32"/>
  <c r="DJ98" i="32"/>
  <c r="DK98" i="32"/>
  <c r="DL98" i="32"/>
  <c r="DM98" i="32"/>
  <c r="DN98" i="32"/>
  <c r="DO98" i="32"/>
  <c r="DP98" i="32"/>
  <c r="DQ98" i="32"/>
  <c r="DR98" i="32"/>
  <c r="DS98" i="32"/>
  <c r="DT98" i="32"/>
  <c r="DU98" i="32"/>
  <c r="DV98" i="32"/>
  <c r="DW98" i="32"/>
  <c r="DX98" i="32"/>
  <c r="DY98" i="32"/>
  <c r="DZ98" i="32"/>
  <c r="EA98" i="32"/>
  <c r="EB98" i="32"/>
  <c r="EC98" i="32"/>
  <c r="ED98" i="32"/>
  <c r="EE98" i="32"/>
  <c r="EF98" i="32"/>
  <c r="EG98" i="32"/>
  <c r="EH98" i="32"/>
  <c r="EI98" i="32"/>
  <c r="EJ98" i="32"/>
  <c r="EK98" i="32"/>
  <c r="EL98" i="32"/>
  <c r="EM98" i="32"/>
  <c r="EN98" i="32"/>
  <c r="EO98" i="32"/>
  <c r="EP98" i="32"/>
  <c r="EQ98" i="32"/>
  <c r="ER98" i="32"/>
  <c r="ES98" i="32"/>
  <c r="ET98" i="32"/>
  <c r="EU98" i="32"/>
  <c r="EV98" i="32"/>
  <c r="EW98" i="32"/>
  <c r="EX98" i="32"/>
  <c r="EY98" i="32"/>
  <c r="EZ98" i="32"/>
  <c r="FA98" i="32"/>
  <c r="FB98" i="32"/>
  <c r="FC98" i="32"/>
  <c r="FD98" i="32"/>
  <c r="FE98" i="32"/>
  <c r="FF98" i="32"/>
  <c r="FG98" i="32"/>
  <c r="FH98" i="32"/>
  <c r="FI98" i="32"/>
  <c r="FJ98" i="32"/>
  <c r="FK98" i="32"/>
  <c r="FL98" i="32"/>
  <c r="FM98" i="32"/>
  <c r="FN98" i="32"/>
  <c r="FO98" i="32"/>
  <c r="FP98" i="32"/>
  <c r="FQ98" i="32"/>
  <c r="FR98" i="32"/>
  <c r="FS98" i="32"/>
  <c r="FT98" i="32"/>
  <c r="FU98" i="32"/>
  <c r="FV98" i="32"/>
  <c r="FW98" i="32"/>
  <c r="FX98" i="32"/>
  <c r="FY98" i="32"/>
  <c r="FZ98" i="32"/>
  <c r="GA98" i="32"/>
  <c r="GB98" i="32"/>
  <c r="GC98" i="32"/>
  <c r="GD98" i="32"/>
  <c r="GE98" i="32"/>
  <c r="GF98" i="32"/>
  <c r="GG98" i="32"/>
  <c r="GH98" i="32"/>
  <c r="GI98" i="32"/>
  <c r="GJ98" i="32"/>
  <c r="GK98" i="32"/>
  <c r="GL98" i="32"/>
  <c r="GM98" i="32"/>
  <c r="GN98" i="32"/>
  <c r="GO98" i="32"/>
  <c r="GP98" i="32"/>
  <c r="GQ98" i="32"/>
  <c r="GR98" i="32"/>
  <c r="GS98" i="32"/>
  <c r="GT98" i="32"/>
  <c r="GU98" i="32"/>
  <c r="GV98" i="32"/>
  <c r="GW98" i="32"/>
  <c r="GX98" i="32"/>
  <c r="GY98" i="32"/>
  <c r="GZ98" i="32"/>
  <c r="HA98" i="32"/>
  <c r="HB98" i="32"/>
  <c r="HC98" i="32"/>
  <c r="HD98" i="32"/>
  <c r="HE98" i="32"/>
  <c r="HF98" i="32"/>
  <c r="HG98" i="32"/>
  <c r="HH98" i="32"/>
  <c r="HI98" i="32"/>
  <c r="HJ98" i="32"/>
  <c r="HK98" i="32"/>
  <c r="HL98" i="32"/>
  <c r="HM98" i="32"/>
  <c r="HN98" i="32"/>
  <c r="HO98" i="32"/>
  <c r="HP98" i="32"/>
  <c r="HQ98" i="32"/>
  <c r="HR98" i="32"/>
  <c r="HS98" i="32"/>
  <c r="HT98" i="32"/>
  <c r="HU98" i="32"/>
  <c r="HV98" i="32"/>
  <c r="HW98" i="32"/>
  <c r="HX98" i="32"/>
  <c r="HY98" i="32"/>
  <c r="HZ98" i="32"/>
  <c r="IA98" i="32"/>
  <c r="IB98" i="32"/>
  <c r="IC98" i="32"/>
  <c r="ID98" i="32"/>
  <c r="IE98" i="32"/>
  <c r="IF98" i="32"/>
  <c r="IG98" i="32"/>
  <c r="IH98" i="32"/>
  <c r="II98" i="32"/>
  <c r="IJ98" i="32"/>
  <c r="IK98" i="32"/>
  <c r="IL98" i="32"/>
  <c r="IM98" i="32"/>
  <c r="IN98" i="32"/>
  <c r="IO98" i="32"/>
  <c r="IP98" i="32"/>
  <c r="IQ98" i="32"/>
  <c r="IR98" i="32"/>
  <c r="IS98" i="32"/>
  <c r="IT98" i="32"/>
  <c r="IU98" i="32"/>
  <c r="IV98" i="32"/>
  <c r="A97" i="32"/>
  <c r="B97" i="32"/>
  <c r="C97" i="32"/>
  <c r="D97" i="32"/>
  <c r="E97" i="32"/>
  <c r="F97" i="32"/>
  <c r="G97" i="32"/>
  <c r="H97" i="32"/>
  <c r="I97" i="32"/>
  <c r="J97" i="32"/>
  <c r="K97" i="32"/>
  <c r="L97" i="32"/>
  <c r="M97" i="32"/>
  <c r="N97" i="32"/>
  <c r="O97" i="32"/>
  <c r="P97" i="32"/>
  <c r="Q97" i="32"/>
  <c r="R97" i="32"/>
  <c r="S97" i="32"/>
  <c r="T97" i="32"/>
  <c r="U97" i="32"/>
  <c r="V97" i="32"/>
  <c r="W97" i="32"/>
  <c r="X97" i="32"/>
  <c r="Y97" i="32"/>
  <c r="Z97" i="32"/>
  <c r="AA97" i="32"/>
  <c r="AB97" i="32"/>
  <c r="AC97" i="32"/>
  <c r="AD97" i="32"/>
  <c r="AE97" i="32"/>
  <c r="AF97" i="32"/>
  <c r="AG97" i="32"/>
  <c r="AH97" i="32"/>
  <c r="AI97" i="32"/>
  <c r="AJ97" i="32"/>
  <c r="AK97" i="32"/>
  <c r="AL97" i="32"/>
  <c r="AM97" i="32"/>
  <c r="AN97" i="32"/>
  <c r="AO97" i="32"/>
  <c r="AP97" i="32"/>
  <c r="AQ97" i="32"/>
  <c r="AR97" i="32"/>
  <c r="AS97" i="32"/>
  <c r="AT97" i="32"/>
  <c r="AU97" i="32"/>
  <c r="AV97" i="32"/>
  <c r="AW97" i="32"/>
  <c r="AX97" i="32"/>
  <c r="AY97" i="32"/>
  <c r="AZ97" i="32"/>
  <c r="BA97" i="32"/>
  <c r="BB97" i="32"/>
  <c r="BC97" i="32"/>
  <c r="BD97" i="32"/>
  <c r="BE97" i="32"/>
  <c r="BF97" i="32"/>
  <c r="BG97" i="32"/>
  <c r="BH97" i="32"/>
  <c r="BI97" i="32"/>
  <c r="BJ97" i="32"/>
  <c r="BK97" i="32"/>
  <c r="BL97" i="32"/>
  <c r="BM97" i="32"/>
  <c r="BN97" i="32"/>
  <c r="BO97" i="32"/>
  <c r="BP97" i="32"/>
  <c r="BQ97" i="32"/>
  <c r="BR97" i="32"/>
  <c r="BS97" i="32"/>
  <c r="BT97" i="32"/>
  <c r="BU97" i="32"/>
  <c r="BV97" i="32"/>
  <c r="BW97" i="32"/>
  <c r="BX97" i="32"/>
  <c r="BY97" i="32"/>
  <c r="BZ97" i="32"/>
  <c r="CA97" i="32"/>
  <c r="CB97" i="32"/>
  <c r="CC97" i="32"/>
  <c r="CD97" i="32"/>
  <c r="CE97" i="32"/>
  <c r="CF97" i="32"/>
  <c r="CG97" i="32"/>
  <c r="CH97" i="32"/>
  <c r="CI97" i="32"/>
  <c r="CJ97" i="32"/>
  <c r="CK97" i="32"/>
  <c r="CL97" i="32"/>
  <c r="CM97" i="32"/>
  <c r="CN97" i="32"/>
  <c r="CO97" i="32"/>
  <c r="CP97" i="32"/>
  <c r="CQ97" i="32"/>
  <c r="CR97" i="32"/>
  <c r="CS97" i="32"/>
  <c r="CT97" i="32"/>
  <c r="CU97" i="32"/>
  <c r="CV97" i="32"/>
  <c r="CW97" i="32"/>
  <c r="CX97" i="32"/>
  <c r="CY97" i="32"/>
  <c r="CZ97" i="32"/>
  <c r="DA97" i="32"/>
  <c r="DB97" i="32"/>
  <c r="DC97" i="32"/>
  <c r="DD97" i="32"/>
  <c r="DE97" i="32"/>
  <c r="DF97" i="32"/>
  <c r="DG97" i="32"/>
  <c r="DH97" i="32"/>
  <c r="DI97" i="32"/>
  <c r="DJ97" i="32"/>
  <c r="DK97" i="32"/>
  <c r="DL97" i="32"/>
  <c r="DM97" i="32"/>
  <c r="DN97" i="32"/>
  <c r="DO97" i="32"/>
  <c r="DP97" i="32"/>
  <c r="DQ97" i="32"/>
  <c r="DR97" i="32"/>
  <c r="DS97" i="32"/>
  <c r="DT97" i="32"/>
  <c r="DU97" i="32"/>
  <c r="DV97" i="32"/>
  <c r="DW97" i="32"/>
  <c r="DX97" i="32"/>
  <c r="DY97" i="32"/>
  <c r="DZ97" i="32"/>
  <c r="EA97" i="32"/>
  <c r="EB97" i="32"/>
  <c r="EC97" i="32"/>
  <c r="ED97" i="32"/>
  <c r="EE97" i="32"/>
  <c r="EF97" i="32"/>
  <c r="EG97" i="32"/>
  <c r="EH97" i="32"/>
  <c r="EI97" i="32"/>
  <c r="EJ97" i="32"/>
  <c r="EK97" i="32"/>
  <c r="EL97" i="32"/>
  <c r="EM97" i="32"/>
  <c r="EN97" i="32"/>
  <c r="EO97" i="32"/>
  <c r="EP97" i="32"/>
  <c r="EQ97" i="32"/>
  <c r="ER97" i="32"/>
  <c r="ES97" i="32"/>
  <c r="ET97" i="32"/>
  <c r="EU97" i="32"/>
  <c r="EV97" i="32"/>
  <c r="EW97" i="32"/>
  <c r="EX97" i="32"/>
  <c r="EY97" i="32"/>
  <c r="EZ97" i="32"/>
  <c r="FA97" i="32"/>
  <c r="FB97" i="32"/>
  <c r="FC97" i="32"/>
  <c r="FD97" i="32"/>
  <c r="FE97" i="32"/>
  <c r="FF97" i="32"/>
  <c r="FG97" i="32"/>
  <c r="FH97" i="32"/>
  <c r="FI97" i="32"/>
  <c r="FJ97" i="32"/>
  <c r="FK97" i="32"/>
  <c r="FL97" i="32"/>
  <c r="FM97" i="32"/>
  <c r="FN97" i="32"/>
  <c r="FO97" i="32"/>
  <c r="FP97" i="32"/>
  <c r="FQ97" i="32"/>
  <c r="FR97" i="32"/>
  <c r="FS97" i="32"/>
  <c r="FT97" i="32"/>
  <c r="FU97" i="32"/>
  <c r="FV97" i="32"/>
  <c r="FW97" i="32"/>
  <c r="FX97" i="32"/>
  <c r="FY97" i="32"/>
  <c r="FZ97" i="32"/>
  <c r="GA97" i="32"/>
  <c r="GB97" i="32"/>
  <c r="GC97" i="32"/>
  <c r="GD97" i="32"/>
  <c r="GE97" i="32"/>
  <c r="GF97" i="32"/>
  <c r="GG97" i="32"/>
  <c r="GH97" i="32"/>
  <c r="GI97" i="32"/>
  <c r="GJ97" i="32"/>
  <c r="GK97" i="32"/>
  <c r="GL97" i="32"/>
  <c r="GM97" i="32"/>
  <c r="GN97" i="32"/>
  <c r="GO97" i="32"/>
  <c r="GP97" i="32"/>
  <c r="GQ97" i="32"/>
  <c r="GR97" i="32"/>
  <c r="GS97" i="32"/>
  <c r="GT97" i="32"/>
  <c r="GU97" i="32"/>
  <c r="GV97" i="32"/>
  <c r="GW97" i="32"/>
  <c r="GX97" i="32"/>
  <c r="GY97" i="32"/>
  <c r="GZ97" i="32"/>
  <c r="HA97" i="32"/>
  <c r="HB97" i="32"/>
  <c r="HC97" i="32"/>
  <c r="HD97" i="32"/>
  <c r="HE97" i="32"/>
  <c r="HF97" i="32"/>
  <c r="HG97" i="32"/>
  <c r="HH97" i="32"/>
  <c r="HI97" i="32"/>
  <c r="HJ97" i="32"/>
  <c r="HK97" i="32"/>
  <c r="HL97" i="32"/>
  <c r="HM97" i="32"/>
  <c r="HN97" i="32"/>
  <c r="HO97" i="32"/>
  <c r="HP97" i="32"/>
  <c r="HQ97" i="32"/>
  <c r="HR97" i="32"/>
  <c r="HS97" i="32"/>
  <c r="HT97" i="32"/>
  <c r="HU97" i="32"/>
  <c r="HV97" i="32"/>
  <c r="HW97" i="32"/>
  <c r="HX97" i="32"/>
  <c r="HY97" i="32"/>
  <c r="HZ97" i="32"/>
  <c r="IA97" i="32"/>
  <c r="IB97" i="32"/>
  <c r="IC97" i="32"/>
  <c r="ID97" i="32"/>
  <c r="IE97" i="32"/>
  <c r="IF97" i="32"/>
  <c r="IG97" i="32"/>
  <c r="IH97" i="32"/>
  <c r="II97" i="32"/>
  <c r="IJ97" i="32"/>
  <c r="IK97" i="32"/>
  <c r="IL97" i="32"/>
  <c r="IM97" i="32"/>
  <c r="IN97" i="32"/>
  <c r="IO97" i="32"/>
  <c r="IP97" i="32"/>
  <c r="IQ97" i="32"/>
  <c r="IR97" i="32"/>
  <c r="IS97" i="32"/>
  <c r="IT97" i="32"/>
  <c r="IU97" i="32"/>
  <c r="IV97" i="32"/>
  <c r="A96" i="32"/>
  <c r="B96" i="32"/>
  <c r="C96" i="32"/>
  <c r="D96" i="32"/>
  <c r="E96" i="32"/>
  <c r="F96" i="32"/>
  <c r="G96" i="32"/>
  <c r="H96" i="32"/>
  <c r="I96" i="32"/>
  <c r="J96" i="32"/>
  <c r="K96" i="32"/>
  <c r="L96" i="32"/>
  <c r="M96" i="32"/>
  <c r="N96" i="32"/>
  <c r="O96" i="32"/>
  <c r="P96" i="32"/>
  <c r="Q96" i="32"/>
  <c r="R96" i="32"/>
  <c r="S96" i="32"/>
  <c r="T96" i="32"/>
  <c r="U96" i="32"/>
  <c r="V96" i="32"/>
  <c r="W96" i="32"/>
  <c r="X96" i="32"/>
  <c r="Y96" i="32"/>
  <c r="Z96" i="32"/>
  <c r="AA96" i="32"/>
  <c r="AB96" i="32"/>
  <c r="AC96" i="32"/>
  <c r="AD96" i="32"/>
  <c r="AE96" i="32"/>
  <c r="AF96" i="32"/>
  <c r="AG96" i="32"/>
  <c r="AH96" i="32"/>
  <c r="AI96" i="32"/>
  <c r="AJ96" i="32"/>
  <c r="AK96" i="32"/>
  <c r="AL96" i="32"/>
  <c r="AM96" i="32"/>
  <c r="AN96" i="32"/>
  <c r="AO96" i="32"/>
  <c r="AP96" i="32"/>
  <c r="AQ96" i="32"/>
  <c r="AR96" i="32"/>
  <c r="AS96" i="32"/>
  <c r="AT96" i="32"/>
  <c r="AU96" i="32"/>
  <c r="AV96" i="32"/>
  <c r="AW96" i="32"/>
  <c r="AX96" i="32"/>
  <c r="AY96" i="32"/>
  <c r="AZ96" i="32"/>
  <c r="BA96" i="32"/>
  <c r="BB96" i="32"/>
  <c r="BC96" i="32"/>
  <c r="BD96" i="32"/>
  <c r="BE96" i="32"/>
  <c r="BF96" i="32"/>
  <c r="BG96" i="32"/>
  <c r="BH96" i="32"/>
  <c r="BI96" i="32"/>
  <c r="BJ96" i="32"/>
  <c r="BK96" i="32"/>
  <c r="BL96" i="32"/>
  <c r="BM96" i="32"/>
  <c r="BN96" i="32"/>
  <c r="BO96" i="32"/>
  <c r="BP96" i="32"/>
  <c r="BQ96" i="32"/>
  <c r="BR96" i="32"/>
  <c r="BS96" i="32"/>
  <c r="BT96" i="32"/>
  <c r="BU96" i="32"/>
  <c r="BV96" i="32"/>
  <c r="BW96" i="32"/>
  <c r="BX96" i="32"/>
  <c r="BY96" i="32"/>
  <c r="BZ96" i="32"/>
  <c r="CA96" i="32"/>
  <c r="CB96" i="32"/>
  <c r="CC96" i="32"/>
  <c r="CD96" i="32"/>
  <c r="CE96" i="32"/>
  <c r="CF96" i="32"/>
  <c r="CG96" i="32"/>
  <c r="CH96" i="32"/>
  <c r="CI96" i="32"/>
  <c r="CJ96" i="32"/>
  <c r="CK96" i="32"/>
  <c r="CL96" i="32"/>
  <c r="CM96" i="32"/>
  <c r="CN96" i="32"/>
  <c r="CO96" i="32"/>
  <c r="CP96" i="32"/>
  <c r="CQ96" i="32"/>
  <c r="CR96" i="32"/>
  <c r="CS96" i="32"/>
  <c r="CT96" i="32"/>
  <c r="CU96" i="32"/>
  <c r="CV96" i="32"/>
  <c r="CW96" i="32"/>
  <c r="CX96" i="32"/>
  <c r="CY96" i="32"/>
  <c r="CZ96" i="32"/>
  <c r="DA96" i="32"/>
  <c r="DB96" i="32"/>
  <c r="DC96" i="32"/>
  <c r="DD96" i="32"/>
  <c r="DE96" i="32"/>
  <c r="DF96" i="32"/>
  <c r="DG96" i="32"/>
  <c r="DH96" i="32"/>
  <c r="DI96" i="32"/>
  <c r="DJ96" i="32"/>
  <c r="DK96" i="32"/>
  <c r="DL96" i="32"/>
  <c r="DM96" i="32"/>
  <c r="DN96" i="32"/>
  <c r="DO96" i="32"/>
  <c r="DP96" i="32"/>
  <c r="DQ96" i="32"/>
  <c r="DR96" i="32"/>
  <c r="DS96" i="32"/>
  <c r="DT96" i="32"/>
  <c r="DU96" i="32"/>
  <c r="DV96" i="32"/>
  <c r="DW96" i="32"/>
  <c r="DX96" i="32"/>
  <c r="DY96" i="32"/>
  <c r="DZ96" i="32"/>
  <c r="EA96" i="32"/>
  <c r="EB96" i="32"/>
  <c r="EC96" i="32"/>
  <c r="ED96" i="32"/>
  <c r="EE96" i="32"/>
  <c r="EF96" i="32"/>
  <c r="EG96" i="32"/>
  <c r="EH96" i="32"/>
  <c r="EI96" i="32"/>
  <c r="EJ96" i="32"/>
  <c r="EK96" i="32"/>
  <c r="EL96" i="32"/>
  <c r="EM96" i="32"/>
  <c r="EN96" i="32"/>
  <c r="EO96" i="32"/>
  <c r="EP96" i="32"/>
  <c r="EQ96" i="32"/>
  <c r="ER96" i="32"/>
  <c r="ES96" i="32"/>
  <c r="ET96" i="32"/>
  <c r="EU96" i="32"/>
  <c r="EV96" i="32"/>
  <c r="EW96" i="32"/>
  <c r="EX96" i="32"/>
  <c r="EY96" i="32"/>
  <c r="EZ96" i="32"/>
  <c r="FA96" i="32"/>
  <c r="FB96" i="32"/>
  <c r="FC96" i="32"/>
  <c r="FD96" i="32"/>
  <c r="FE96" i="32"/>
  <c r="FF96" i="32"/>
  <c r="FG96" i="32"/>
  <c r="FH96" i="32"/>
  <c r="FI96" i="32"/>
  <c r="FJ96" i="32"/>
  <c r="FK96" i="32"/>
  <c r="FL96" i="32"/>
  <c r="FM96" i="32"/>
  <c r="FN96" i="32"/>
  <c r="FO96" i="32"/>
  <c r="FP96" i="32"/>
  <c r="FQ96" i="32"/>
  <c r="FR96" i="32"/>
  <c r="FS96" i="32"/>
  <c r="FT96" i="32"/>
  <c r="FU96" i="32"/>
  <c r="FV96" i="32"/>
  <c r="FW96" i="32"/>
  <c r="FX96" i="32"/>
  <c r="FY96" i="32"/>
  <c r="FZ96" i="32"/>
  <c r="GA96" i="32"/>
  <c r="GB96" i="32"/>
  <c r="GC96" i="32"/>
  <c r="GD96" i="32"/>
  <c r="GE96" i="32"/>
  <c r="GF96" i="32"/>
  <c r="GG96" i="32"/>
  <c r="GH96" i="32"/>
  <c r="GI96" i="32"/>
  <c r="GJ96" i="32"/>
  <c r="GK96" i="32"/>
  <c r="GL96" i="32"/>
  <c r="GM96" i="32"/>
  <c r="GN96" i="32"/>
  <c r="GO96" i="32"/>
  <c r="GP96" i="32"/>
  <c r="GQ96" i="32"/>
  <c r="GR96" i="32"/>
  <c r="GS96" i="32"/>
  <c r="GT96" i="32"/>
  <c r="GU96" i="32"/>
  <c r="GV96" i="32"/>
  <c r="GW96" i="32"/>
  <c r="GX96" i="32"/>
  <c r="GY96" i="32"/>
  <c r="GZ96" i="32"/>
  <c r="HA96" i="32"/>
  <c r="HB96" i="32"/>
  <c r="HC96" i="32"/>
  <c r="HD96" i="32"/>
  <c r="HE96" i="32"/>
  <c r="HF96" i="32"/>
  <c r="HG96" i="32"/>
  <c r="HH96" i="32"/>
  <c r="HI96" i="32"/>
  <c r="HJ96" i="32"/>
  <c r="HK96" i="32"/>
  <c r="HL96" i="32"/>
  <c r="HM96" i="32"/>
  <c r="HN96" i="32"/>
  <c r="HO96" i="32"/>
  <c r="HP96" i="32"/>
  <c r="HQ96" i="32"/>
  <c r="HR96" i="32"/>
  <c r="HS96" i="32"/>
  <c r="HT96" i="32"/>
  <c r="HU96" i="32"/>
  <c r="HV96" i="32"/>
  <c r="HW96" i="32"/>
  <c r="HX96" i="32"/>
  <c r="HY96" i="32"/>
  <c r="HZ96" i="32"/>
  <c r="IA96" i="32"/>
  <c r="IB96" i="32"/>
  <c r="IC96" i="32"/>
  <c r="ID96" i="32"/>
  <c r="IE96" i="32"/>
  <c r="IF96" i="32"/>
  <c r="IG96" i="32"/>
  <c r="IH96" i="32"/>
  <c r="II96" i="32"/>
  <c r="IJ96" i="32"/>
  <c r="IK96" i="32"/>
  <c r="IL96" i="32"/>
  <c r="IM96" i="32"/>
  <c r="IN96" i="32"/>
  <c r="IO96" i="32"/>
  <c r="IP96" i="32"/>
  <c r="IQ96" i="32"/>
  <c r="IR96" i="32"/>
  <c r="IS96" i="32"/>
  <c r="IT96" i="32"/>
  <c r="IU96" i="32"/>
  <c r="IV96" i="32"/>
  <c r="A95" i="32"/>
  <c r="B95" i="32"/>
  <c r="C95" i="32"/>
  <c r="D95" i="32"/>
  <c r="E95" i="32"/>
  <c r="F95" i="32"/>
  <c r="G95" i="32"/>
  <c r="H95" i="32"/>
  <c r="I95" i="32"/>
  <c r="J95" i="32"/>
  <c r="K95" i="32"/>
  <c r="L95" i="32"/>
  <c r="M95" i="32"/>
  <c r="N95" i="32"/>
  <c r="O95" i="32"/>
  <c r="P95" i="32"/>
  <c r="Q95" i="32"/>
  <c r="R95" i="32"/>
  <c r="S95" i="32"/>
  <c r="T95" i="32"/>
  <c r="U95" i="32"/>
  <c r="V95" i="32"/>
  <c r="W95" i="32"/>
  <c r="X95" i="32"/>
  <c r="Y95" i="32"/>
  <c r="Z95" i="32"/>
  <c r="AA95" i="32"/>
  <c r="AB95" i="32"/>
  <c r="AC95" i="32"/>
  <c r="AD95" i="32"/>
  <c r="AE95" i="32"/>
  <c r="AF95" i="32"/>
  <c r="AG95" i="32"/>
  <c r="AH95" i="32"/>
  <c r="AI95" i="32"/>
  <c r="AJ95" i="32"/>
  <c r="AK95" i="32"/>
  <c r="AL95" i="32"/>
  <c r="AM95" i="32"/>
  <c r="AN95" i="32"/>
  <c r="AO95" i="32"/>
  <c r="AP95" i="32"/>
  <c r="AQ95" i="32"/>
  <c r="AR95" i="32"/>
  <c r="AS95" i="32"/>
  <c r="AT95" i="32"/>
  <c r="AU95" i="32"/>
  <c r="AV95" i="32"/>
  <c r="AW95" i="32"/>
  <c r="AX95" i="32"/>
  <c r="AY95" i="32"/>
  <c r="AZ95" i="32"/>
  <c r="BA95" i="32"/>
  <c r="BB95" i="32"/>
  <c r="BC95" i="32"/>
  <c r="BD95" i="32"/>
  <c r="BE95" i="32"/>
  <c r="BF95" i="32"/>
  <c r="BG95" i="32"/>
  <c r="BH95" i="32"/>
  <c r="BI95" i="32"/>
  <c r="BJ95" i="32"/>
  <c r="BK95" i="32"/>
  <c r="BL95" i="32"/>
  <c r="BM95" i="32"/>
  <c r="BN95" i="32"/>
  <c r="BO95" i="32"/>
  <c r="BP95" i="32"/>
  <c r="BQ95" i="32"/>
  <c r="BR95" i="32"/>
  <c r="BS95" i="32"/>
  <c r="BT95" i="32"/>
  <c r="BU95" i="32"/>
  <c r="BV95" i="32"/>
  <c r="BW95" i="32"/>
  <c r="BX95" i="32"/>
  <c r="BY95" i="32"/>
  <c r="BZ95" i="32"/>
  <c r="CA95" i="32"/>
  <c r="CB95" i="32"/>
  <c r="CC95" i="32"/>
  <c r="CD95" i="32"/>
  <c r="CE95" i="32"/>
  <c r="CF95" i="32"/>
  <c r="CG95" i="32"/>
  <c r="CH95" i="32"/>
  <c r="CI95" i="32"/>
  <c r="CJ95" i="32"/>
  <c r="CK95" i="32"/>
  <c r="CL95" i="32"/>
  <c r="CM95" i="32"/>
  <c r="CN95" i="32"/>
  <c r="CO95" i="32"/>
  <c r="CP95" i="32"/>
  <c r="CQ95" i="32"/>
  <c r="CR95" i="32"/>
  <c r="CS95" i="32"/>
  <c r="CT95" i="32"/>
  <c r="CU95" i="32"/>
  <c r="CV95" i="32"/>
  <c r="CW95" i="32"/>
  <c r="CX95" i="32"/>
  <c r="CY95" i="32"/>
  <c r="CZ95" i="32"/>
  <c r="DA95" i="32"/>
  <c r="DB95" i="32"/>
  <c r="DC95" i="32"/>
  <c r="DD95" i="32"/>
  <c r="DE95" i="32"/>
  <c r="DF95" i="32"/>
  <c r="DG95" i="32"/>
  <c r="DH95" i="32"/>
  <c r="DI95" i="32"/>
  <c r="DJ95" i="32"/>
  <c r="DK95" i="32"/>
  <c r="DL95" i="32"/>
  <c r="DM95" i="32"/>
  <c r="DN95" i="32"/>
  <c r="DO95" i="32"/>
  <c r="DP95" i="32"/>
  <c r="DQ95" i="32"/>
  <c r="DR95" i="32"/>
  <c r="DS95" i="32"/>
  <c r="DT95" i="32"/>
  <c r="DU95" i="32"/>
  <c r="DV95" i="32"/>
  <c r="DW95" i="32"/>
  <c r="DX95" i="32"/>
  <c r="DY95" i="32"/>
  <c r="DZ95" i="32"/>
  <c r="EA95" i="32"/>
  <c r="EB95" i="32"/>
  <c r="EC95" i="32"/>
  <c r="ED95" i="32"/>
  <c r="EE95" i="32"/>
  <c r="EF95" i="32"/>
  <c r="EG95" i="32"/>
  <c r="EH95" i="32"/>
  <c r="EI95" i="32"/>
  <c r="EJ95" i="32"/>
  <c r="EK95" i="32"/>
  <c r="EL95" i="32"/>
  <c r="EM95" i="32"/>
  <c r="EN95" i="32"/>
  <c r="EO95" i="32"/>
  <c r="EP95" i="32"/>
  <c r="EQ95" i="32"/>
  <c r="ER95" i="32"/>
  <c r="ES95" i="32"/>
  <c r="ET95" i="32"/>
  <c r="EU95" i="32"/>
  <c r="EV95" i="32"/>
  <c r="EW95" i="32"/>
  <c r="EX95" i="32"/>
  <c r="EY95" i="32"/>
  <c r="EZ95" i="32"/>
  <c r="FA95" i="32"/>
  <c r="FB95" i="32"/>
  <c r="FC95" i="32"/>
  <c r="FD95" i="32"/>
  <c r="FE95" i="32"/>
  <c r="FF95" i="32"/>
  <c r="FG95" i="32"/>
  <c r="FH95" i="32"/>
  <c r="FI95" i="32"/>
  <c r="FJ95" i="32"/>
  <c r="FK95" i="32"/>
  <c r="FL95" i="32"/>
  <c r="FM95" i="32"/>
  <c r="FN95" i="32"/>
  <c r="FO95" i="32"/>
  <c r="FP95" i="32"/>
  <c r="FQ95" i="32"/>
  <c r="FR95" i="32"/>
  <c r="FS95" i="32"/>
  <c r="FT95" i="32"/>
  <c r="FU95" i="32"/>
  <c r="FV95" i="32"/>
  <c r="FW95" i="32"/>
  <c r="FX95" i="32"/>
  <c r="FY95" i="32"/>
  <c r="FZ95" i="32"/>
  <c r="GA95" i="32"/>
  <c r="GB95" i="32"/>
  <c r="GC95" i="32"/>
  <c r="GD95" i="32"/>
  <c r="GE95" i="32"/>
  <c r="GF95" i="32"/>
  <c r="GG95" i="32"/>
  <c r="GH95" i="32"/>
  <c r="GI95" i="32"/>
  <c r="GJ95" i="32"/>
  <c r="GK95" i="32"/>
  <c r="GL95" i="32"/>
  <c r="GM95" i="32"/>
  <c r="GN95" i="32"/>
  <c r="GO95" i="32"/>
  <c r="GP95" i="32"/>
  <c r="GQ95" i="32"/>
  <c r="GR95" i="32"/>
  <c r="GS95" i="32"/>
  <c r="GT95" i="32"/>
  <c r="GU95" i="32"/>
  <c r="GV95" i="32"/>
  <c r="GW95" i="32"/>
  <c r="GX95" i="32"/>
  <c r="GY95" i="32"/>
  <c r="GZ95" i="32"/>
  <c r="HA95" i="32"/>
  <c r="HB95" i="32"/>
  <c r="HC95" i="32"/>
  <c r="HD95" i="32"/>
  <c r="HE95" i="32"/>
  <c r="HF95" i="32"/>
  <c r="HG95" i="32"/>
  <c r="HH95" i="32"/>
  <c r="HI95" i="32"/>
  <c r="HJ95" i="32"/>
  <c r="HK95" i="32"/>
  <c r="HL95" i="32"/>
  <c r="HM95" i="32"/>
  <c r="HN95" i="32"/>
  <c r="HO95" i="32"/>
  <c r="HP95" i="32"/>
  <c r="HQ95" i="32"/>
  <c r="HR95" i="32"/>
  <c r="HS95" i="32"/>
  <c r="HT95" i="32"/>
  <c r="HU95" i="32"/>
  <c r="HV95" i="32"/>
  <c r="HW95" i="32"/>
  <c r="HX95" i="32"/>
  <c r="HY95" i="32"/>
  <c r="HZ95" i="32"/>
  <c r="IA95" i="32"/>
  <c r="IB95" i="32"/>
  <c r="IC95" i="32"/>
  <c r="ID95" i="32"/>
  <c r="IE95" i="32"/>
  <c r="IF95" i="32"/>
  <c r="IG95" i="32"/>
  <c r="IH95" i="32"/>
  <c r="II95" i="32"/>
  <c r="IJ95" i="32"/>
  <c r="IK95" i="32"/>
  <c r="IL95" i="32"/>
  <c r="IM95" i="32"/>
  <c r="IN95" i="32"/>
  <c r="IO95" i="32"/>
  <c r="IP95" i="32"/>
  <c r="IQ95" i="32"/>
  <c r="IR95" i="32"/>
  <c r="IS95" i="32"/>
  <c r="IT95" i="32"/>
  <c r="IU95" i="32"/>
  <c r="IV95" i="32"/>
  <c r="A94" i="32"/>
  <c r="B94" i="32"/>
  <c r="C94" i="32"/>
  <c r="D94" i="32"/>
  <c r="E94" i="32"/>
  <c r="F94" i="32"/>
  <c r="G94" i="32"/>
  <c r="H94" i="32"/>
  <c r="I94" i="32"/>
  <c r="J94" i="32"/>
  <c r="K94" i="32"/>
  <c r="L94" i="32"/>
  <c r="M94" i="32"/>
  <c r="N94" i="32"/>
  <c r="O94" i="32"/>
  <c r="P94" i="32"/>
  <c r="Q94" i="32"/>
  <c r="R94" i="32"/>
  <c r="S94" i="32"/>
  <c r="T94" i="32"/>
  <c r="U94" i="32"/>
  <c r="V94" i="32"/>
  <c r="W94" i="32"/>
  <c r="X94" i="32"/>
  <c r="Y94" i="32"/>
  <c r="Z94" i="32"/>
  <c r="AA94" i="32"/>
  <c r="AB94" i="32"/>
  <c r="AC94" i="32"/>
  <c r="AD94" i="32"/>
  <c r="AE94" i="32"/>
  <c r="AF94" i="32"/>
  <c r="AG94" i="32"/>
  <c r="AH94" i="32"/>
  <c r="AI94" i="32"/>
  <c r="AJ94" i="32"/>
  <c r="AK94" i="32"/>
  <c r="AL94" i="32"/>
  <c r="AM94" i="32"/>
  <c r="AN94" i="32"/>
  <c r="AO94" i="32"/>
  <c r="AP94" i="32"/>
  <c r="AQ94" i="32"/>
  <c r="AR94" i="32"/>
  <c r="AS94" i="32"/>
  <c r="AT94" i="32"/>
  <c r="AU94" i="32"/>
  <c r="AV94" i="32"/>
  <c r="AW94" i="32"/>
  <c r="AX94" i="32"/>
  <c r="AY94" i="32"/>
  <c r="AZ94" i="32"/>
  <c r="BA94" i="32"/>
  <c r="BB94" i="32"/>
  <c r="BC94" i="32"/>
  <c r="BD94" i="32"/>
  <c r="BE94" i="32"/>
  <c r="BF94" i="32"/>
  <c r="BG94" i="32"/>
  <c r="BH94" i="32"/>
  <c r="BI94" i="32"/>
  <c r="BJ94" i="32"/>
  <c r="BK94" i="32"/>
  <c r="BL94" i="32"/>
  <c r="BM94" i="32"/>
  <c r="BN94" i="32"/>
  <c r="BO94" i="32"/>
  <c r="BP94" i="32"/>
  <c r="BQ94" i="32"/>
  <c r="BR94" i="32"/>
  <c r="BS94" i="32"/>
  <c r="BT94" i="32"/>
  <c r="BU94" i="32"/>
  <c r="BV94" i="32"/>
  <c r="BW94" i="32"/>
  <c r="BX94" i="32"/>
  <c r="BY94" i="32"/>
  <c r="BZ94" i="32"/>
  <c r="CA94" i="32"/>
  <c r="CB94" i="32"/>
  <c r="CC94" i="32"/>
  <c r="CD94" i="32"/>
  <c r="CE94" i="32"/>
  <c r="CF94" i="32"/>
  <c r="CG94" i="32"/>
  <c r="CH94" i="32"/>
  <c r="CI94" i="32"/>
  <c r="CJ94" i="32"/>
  <c r="CK94" i="32"/>
  <c r="CL94" i="32"/>
  <c r="CM94" i="32"/>
  <c r="CN94" i="32"/>
  <c r="CO94" i="32"/>
  <c r="CP94" i="32"/>
  <c r="CQ94" i="32"/>
  <c r="CR94" i="32"/>
  <c r="CS94" i="32"/>
  <c r="CT94" i="32"/>
  <c r="CU94" i="32"/>
  <c r="CV94" i="32"/>
  <c r="CW94" i="32"/>
  <c r="CX94" i="32"/>
  <c r="CY94" i="32"/>
  <c r="CZ94" i="32"/>
  <c r="DA94" i="32"/>
  <c r="DB94" i="32"/>
  <c r="DC94" i="32"/>
  <c r="DD94" i="32"/>
  <c r="DE94" i="32"/>
  <c r="DF94" i="32"/>
  <c r="DG94" i="32"/>
  <c r="DH94" i="32"/>
  <c r="DI94" i="32"/>
  <c r="DJ94" i="32"/>
  <c r="DK94" i="32"/>
  <c r="DL94" i="32"/>
  <c r="DM94" i="32"/>
  <c r="DN94" i="32"/>
  <c r="DO94" i="32"/>
  <c r="DP94" i="32"/>
  <c r="DQ94" i="32"/>
  <c r="DR94" i="32"/>
  <c r="DS94" i="32"/>
  <c r="DT94" i="32"/>
  <c r="DU94" i="32"/>
  <c r="DV94" i="32"/>
  <c r="DW94" i="32"/>
  <c r="DX94" i="32"/>
  <c r="DY94" i="32"/>
  <c r="DZ94" i="32"/>
  <c r="EA94" i="32"/>
  <c r="EB94" i="32"/>
  <c r="EC94" i="32"/>
  <c r="ED94" i="32"/>
  <c r="EE94" i="32"/>
  <c r="EF94" i="32"/>
  <c r="EG94" i="32"/>
  <c r="EH94" i="32"/>
  <c r="EI94" i="32"/>
  <c r="EJ94" i="32"/>
  <c r="EK94" i="32"/>
  <c r="EL94" i="32"/>
  <c r="EM94" i="32"/>
  <c r="EN94" i="32"/>
  <c r="EO94" i="32"/>
  <c r="EP94" i="32"/>
  <c r="EQ94" i="32"/>
  <c r="ER94" i="32"/>
  <c r="ES94" i="32"/>
  <c r="ET94" i="32"/>
  <c r="EU94" i="32"/>
  <c r="EV94" i="32"/>
  <c r="EW94" i="32"/>
  <c r="EX94" i="32"/>
  <c r="EY94" i="32"/>
  <c r="EZ94" i="32"/>
  <c r="FA94" i="32"/>
  <c r="FB94" i="32"/>
  <c r="FC94" i="32"/>
  <c r="FD94" i="32"/>
  <c r="FE94" i="32"/>
  <c r="FF94" i="32"/>
  <c r="FG94" i="32"/>
  <c r="FH94" i="32"/>
  <c r="FI94" i="32"/>
  <c r="FJ94" i="32"/>
  <c r="FK94" i="32"/>
  <c r="FL94" i="32"/>
  <c r="FM94" i="32"/>
  <c r="FN94" i="32"/>
  <c r="FO94" i="32"/>
  <c r="FP94" i="32"/>
  <c r="FQ94" i="32"/>
  <c r="FR94" i="32"/>
  <c r="FS94" i="32"/>
  <c r="FT94" i="32"/>
  <c r="FU94" i="32"/>
  <c r="FV94" i="32"/>
  <c r="FW94" i="32"/>
  <c r="FX94" i="32"/>
  <c r="FY94" i="32"/>
  <c r="FZ94" i="32"/>
  <c r="GA94" i="32"/>
  <c r="GB94" i="32"/>
  <c r="GC94" i="32"/>
  <c r="GD94" i="32"/>
  <c r="GE94" i="32"/>
  <c r="GF94" i="32"/>
  <c r="GG94" i="32"/>
  <c r="GH94" i="32"/>
  <c r="GI94" i="32"/>
  <c r="GJ94" i="32"/>
  <c r="GK94" i="32"/>
  <c r="GL94" i="32"/>
  <c r="GM94" i="32"/>
  <c r="GN94" i="32"/>
  <c r="GO94" i="32"/>
  <c r="GP94" i="32"/>
  <c r="GQ94" i="32"/>
  <c r="GR94" i="32"/>
  <c r="GS94" i="32"/>
  <c r="GT94" i="32"/>
  <c r="GU94" i="32"/>
  <c r="GV94" i="32"/>
  <c r="GW94" i="32"/>
  <c r="GX94" i="32"/>
  <c r="GY94" i="32"/>
  <c r="GZ94" i="32"/>
  <c r="HA94" i="32"/>
  <c r="HB94" i="32"/>
  <c r="HC94" i="32"/>
  <c r="HD94" i="32"/>
  <c r="HE94" i="32"/>
  <c r="HF94" i="32"/>
  <c r="HG94" i="32"/>
  <c r="HH94" i="32"/>
  <c r="HI94" i="32"/>
  <c r="HJ94" i="32"/>
  <c r="HK94" i="32"/>
  <c r="HL94" i="32"/>
  <c r="HM94" i="32"/>
  <c r="HN94" i="32"/>
  <c r="HO94" i="32"/>
  <c r="HP94" i="32"/>
  <c r="HQ94" i="32"/>
  <c r="HR94" i="32"/>
  <c r="HS94" i="32"/>
  <c r="HT94" i="32"/>
  <c r="HU94" i="32"/>
  <c r="HV94" i="32"/>
  <c r="HW94" i="32"/>
  <c r="HX94" i="32"/>
  <c r="HY94" i="32"/>
  <c r="HZ94" i="32"/>
  <c r="IA94" i="32"/>
  <c r="IB94" i="32"/>
  <c r="IC94" i="32"/>
  <c r="ID94" i="32"/>
  <c r="IE94" i="32"/>
  <c r="IF94" i="32"/>
  <c r="IG94" i="32"/>
  <c r="IH94" i="32"/>
  <c r="II94" i="32"/>
  <c r="IJ94" i="32"/>
  <c r="IK94" i="32"/>
  <c r="IL94" i="32"/>
  <c r="IM94" i="32"/>
  <c r="IN94" i="32"/>
  <c r="IO94" i="32"/>
  <c r="IP94" i="32"/>
  <c r="IQ94" i="32"/>
  <c r="IR94" i="32"/>
  <c r="IS94" i="32"/>
  <c r="IT94" i="32"/>
  <c r="IU94" i="32"/>
  <c r="IV94" i="32"/>
  <c r="A93" i="32"/>
  <c r="B93" i="32"/>
  <c r="C93" i="32"/>
  <c r="D93" i="32"/>
  <c r="E93" i="32"/>
  <c r="F93" i="32"/>
  <c r="G93" i="32"/>
  <c r="H93" i="32"/>
  <c r="I93" i="32"/>
  <c r="J93" i="32"/>
  <c r="K93" i="32"/>
  <c r="L93" i="32"/>
  <c r="M93" i="32"/>
  <c r="N93" i="32"/>
  <c r="O93" i="32"/>
  <c r="P93" i="32"/>
  <c r="Q93" i="32"/>
  <c r="R93" i="32"/>
  <c r="S93" i="32"/>
  <c r="T93" i="32"/>
  <c r="U93" i="32"/>
  <c r="V93" i="32"/>
  <c r="W93" i="32"/>
  <c r="X93" i="32"/>
  <c r="Y93" i="32"/>
  <c r="Z93" i="32"/>
  <c r="AA93" i="32"/>
  <c r="AB93" i="32"/>
  <c r="AC93" i="32"/>
  <c r="AD93" i="32"/>
  <c r="AE93" i="32"/>
  <c r="AF93" i="32"/>
  <c r="AG93" i="32"/>
  <c r="AH93" i="32"/>
  <c r="AI93" i="32"/>
  <c r="AJ93" i="32"/>
  <c r="AK93" i="32"/>
  <c r="AL93" i="32"/>
  <c r="AM93" i="32"/>
  <c r="AN93" i="32"/>
  <c r="AO93" i="32"/>
  <c r="AP93" i="32"/>
  <c r="AQ93" i="32"/>
  <c r="AR93" i="32"/>
  <c r="AS93" i="32"/>
  <c r="AT93" i="32"/>
  <c r="AU93" i="32"/>
  <c r="AV93" i="32"/>
  <c r="AW93" i="32"/>
  <c r="AX93" i="32"/>
  <c r="AY93" i="32"/>
  <c r="AZ93" i="32"/>
  <c r="BA93" i="32"/>
  <c r="BB93" i="32"/>
  <c r="BC93" i="32"/>
  <c r="BD93" i="32"/>
  <c r="BE93" i="32"/>
  <c r="BF93" i="32"/>
  <c r="BG93" i="32"/>
  <c r="BH93" i="32"/>
  <c r="BI93" i="32"/>
  <c r="BJ93" i="32"/>
  <c r="BK93" i="32"/>
  <c r="BL93" i="32"/>
  <c r="BM93" i="32"/>
  <c r="BN93" i="32"/>
  <c r="BO93" i="32"/>
  <c r="BP93" i="32"/>
  <c r="BQ93" i="32"/>
  <c r="BR93" i="32"/>
  <c r="BS93" i="32"/>
  <c r="BT93" i="32"/>
  <c r="BU93" i="32"/>
  <c r="BV93" i="32"/>
  <c r="BW93" i="32"/>
  <c r="BX93" i="32"/>
  <c r="BY93" i="32"/>
  <c r="BZ93" i="32"/>
  <c r="CA93" i="32"/>
  <c r="CB93" i="32"/>
  <c r="CC93" i="32"/>
  <c r="CD93" i="32"/>
  <c r="CE93" i="32"/>
  <c r="CF93" i="32"/>
  <c r="CG93" i="32"/>
  <c r="CH93" i="32"/>
  <c r="CI93" i="32"/>
  <c r="CJ93" i="32"/>
  <c r="CK93" i="32"/>
  <c r="CL93" i="32"/>
  <c r="CM93" i="32"/>
  <c r="CN93" i="32"/>
  <c r="CO93" i="32"/>
  <c r="CP93" i="32"/>
  <c r="CQ93" i="32"/>
  <c r="CR93" i="32"/>
  <c r="CS93" i="32"/>
  <c r="CT93" i="32"/>
  <c r="CU93" i="32"/>
  <c r="CV93" i="32"/>
  <c r="CW93" i="32"/>
  <c r="CX93" i="32"/>
  <c r="CY93" i="32"/>
  <c r="CZ93" i="32"/>
  <c r="DA93" i="32"/>
  <c r="DB93" i="32"/>
  <c r="DC93" i="32"/>
  <c r="DD93" i="32"/>
  <c r="DE93" i="32"/>
  <c r="DF93" i="32"/>
  <c r="DG93" i="32"/>
  <c r="DH93" i="32"/>
  <c r="DI93" i="32"/>
  <c r="DJ93" i="32"/>
  <c r="DK93" i="32"/>
  <c r="DL93" i="32"/>
  <c r="DM93" i="32"/>
  <c r="DN93" i="32"/>
  <c r="DO93" i="32"/>
  <c r="DP93" i="32"/>
  <c r="DQ93" i="32"/>
  <c r="DR93" i="32"/>
  <c r="DS93" i="32"/>
  <c r="DT93" i="32"/>
  <c r="DU93" i="32"/>
  <c r="DV93" i="32"/>
  <c r="DW93" i="32"/>
  <c r="DX93" i="32"/>
  <c r="DY93" i="32"/>
  <c r="DZ93" i="32"/>
  <c r="EA93" i="32"/>
  <c r="EB93" i="32"/>
  <c r="EC93" i="32"/>
  <c r="ED93" i="32"/>
  <c r="EE93" i="32"/>
  <c r="EF93" i="32"/>
  <c r="EG93" i="32"/>
  <c r="EH93" i="32"/>
  <c r="EI93" i="32"/>
  <c r="EJ93" i="32"/>
  <c r="EK93" i="32"/>
  <c r="EL93" i="32"/>
  <c r="EM93" i="32"/>
  <c r="EN93" i="32"/>
  <c r="EO93" i="32"/>
  <c r="EP93" i="32"/>
  <c r="EQ93" i="32"/>
  <c r="ER93" i="32"/>
  <c r="ES93" i="32"/>
  <c r="ET93" i="32"/>
  <c r="EU93" i="32"/>
  <c r="EV93" i="32"/>
  <c r="EW93" i="32"/>
  <c r="EX93" i="32"/>
  <c r="EY93" i="32"/>
  <c r="EZ93" i="32"/>
  <c r="FA93" i="32"/>
  <c r="FB93" i="32"/>
  <c r="FC93" i="32"/>
  <c r="FD93" i="32"/>
  <c r="FE93" i="32"/>
  <c r="FF93" i="32"/>
  <c r="FG93" i="32"/>
  <c r="FH93" i="32"/>
  <c r="FI93" i="32"/>
  <c r="FJ93" i="32"/>
  <c r="FK93" i="32"/>
  <c r="FL93" i="32"/>
  <c r="FM93" i="32"/>
  <c r="FN93" i="32"/>
  <c r="FO93" i="32"/>
  <c r="FP93" i="32"/>
  <c r="FQ93" i="32"/>
  <c r="FR93" i="32"/>
  <c r="FS93" i="32"/>
  <c r="FT93" i="32"/>
  <c r="FU93" i="32"/>
  <c r="FV93" i="32"/>
  <c r="FW93" i="32"/>
  <c r="FX93" i="32"/>
  <c r="FY93" i="32"/>
  <c r="FZ93" i="32"/>
  <c r="GA93" i="32"/>
  <c r="GB93" i="32"/>
  <c r="GC93" i="32"/>
  <c r="GD93" i="32"/>
  <c r="GE93" i="32"/>
  <c r="GF93" i="32"/>
  <c r="GG93" i="32"/>
  <c r="GH93" i="32"/>
  <c r="GI93" i="32"/>
  <c r="GJ93" i="32"/>
  <c r="GK93" i="32"/>
  <c r="GL93" i="32"/>
  <c r="GM93" i="32"/>
  <c r="GN93" i="32"/>
  <c r="GO93" i="32"/>
  <c r="GP93" i="32"/>
  <c r="GQ93" i="32"/>
  <c r="GR93" i="32"/>
  <c r="GS93" i="32"/>
  <c r="GT93" i="32"/>
  <c r="GU93" i="32"/>
  <c r="GV93" i="32"/>
  <c r="GW93" i="32"/>
  <c r="GX93" i="32"/>
  <c r="GY93" i="32"/>
  <c r="GZ93" i="32"/>
  <c r="HA93" i="32"/>
  <c r="HB93" i="32"/>
  <c r="HC93" i="32"/>
  <c r="HD93" i="32"/>
  <c r="HE93" i="32"/>
  <c r="HF93" i="32"/>
  <c r="HG93" i="32"/>
  <c r="HH93" i="32"/>
  <c r="HI93" i="32"/>
  <c r="HJ93" i="32"/>
  <c r="HK93" i="32"/>
  <c r="HL93" i="32"/>
  <c r="HM93" i="32"/>
  <c r="HN93" i="32"/>
  <c r="HO93" i="32"/>
  <c r="HP93" i="32"/>
  <c r="HQ93" i="32"/>
  <c r="HR93" i="32"/>
  <c r="HS93" i="32"/>
  <c r="HT93" i="32"/>
  <c r="HU93" i="32"/>
  <c r="HV93" i="32"/>
  <c r="HW93" i="32"/>
  <c r="HX93" i="32"/>
  <c r="HY93" i="32"/>
  <c r="HZ93" i="32"/>
  <c r="IA93" i="32"/>
  <c r="IB93" i="32"/>
  <c r="IC93" i="32"/>
  <c r="ID93" i="32"/>
  <c r="IE93" i="32"/>
  <c r="IF93" i="32"/>
  <c r="IG93" i="32"/>
  <c r="IH93" i="32"/>
  <c r="II93" i="32"/>
  <c r="IJ93" i="32"/>
  <c r="IK93" i="32"/>
  <c r="IL93" i="32"/>
  <c r="IM93" i="32"/>
  <c r="IN93" i="32"/>
  <c r="IO93" i="32"/>
  <c r="IP93" i="32"/>
  <c r="IQ93" i="32"/>
  <c r="IR93" i="32"/>
  <c r="IS93" i="32"/>
  <c r="IT93" i="32"/>
  <c r="IU93" i="32"/>
  <c r="IV93" i="32"/>
  <c r="A92" i="32"/>
  <c r="B92" i="32"/>
  <c r="C92" i="32"/>
  <c r="D92" i="32"/>
  <c r="E92" i="32"/>
  <c r="F92" i="32"/>
  <c r="G92" i="32"/>
  <c r="H92" i="32"/>
  <c r="I92" i="32"/>
  <c r="J92" i="32"/>
  <c r="K92" i="32"/>
  <c r="L92" i="32"/>
  <c r="M92" i="32"/>
  <c r="N92" i="32"/>
  <c r="O92" i="32"/>
  <c r="P92" i="32"/>
  <c r="Q92" i="32"/>
  <c r="R92" i="32"/>
  <c r="S92" i="32"/>
  <c r="T92" i="32"/>
  <c r="U92" i="32"/>
  <c r="V92" i="32"/>
  <c r="W92" i="32"/>
  <c r="X92" i="32"/>
  <c r="Y92" i="32"/>
  <c r="Z92" i="32"/>
  <c r="AA92" i="32"/>
  <c r="AB92" i="32"/>
  <c r="AC92" i="32"/>
  <c r="AD92" i="32"/>
  <c r="AE92" i="32"/>
  <c r="AF92" i="32"/>
  <c r="AG92" i="32"/>
  <c r="AH92" i="32"/>
  <c r="AI92" i="32"/>
  <c r="AJ92" i="32"/>
  <c r="AK92" i="32"/>
  <c r="AL92" i="32"/>
  <c r="AM92" i="32"/>
  <c r="AN92" i="32"/>
  <c r="AO92" i="32"/>
  <c r="AP92" i="32"/>
  <c r="AQ92" i="32"/>
  <c r="AR92" i="32"/>
  <c r="AS92" i="32"/>
  <c r="AT92" i="32"/>
  <c r="AU92" i="32"/>
  <c r="AV92" i="32"/>
  <c r="AW92" i="32"/>
  <c r="AX92" i="32"/>
  <c r="AY92" i="32"/>
  <c r="AZ92" i="32"/>
  <c r="BA92" i="32"/>
  <c r="BB92" i="32"/>
  <c r="BC92" i="32"/>
  <c r="BD92" i="32"/>
  <c r="BE92" i="32"/>
  <c r="BF92" i="32"/>
  <c r="BG92" i="32"/>
  <c r="BH92" i="32"/>
  <c r="BI92" i="32"/>
  <c r="BJ92" i="32"/>
  <c r="BK92" i="32"/>
  <c r="BL92" i="32"/>
  <c r="BM92" i="32"/>
  <c r="BN92" i="32"/>
  <c r="BO92" i="32"/>
  <c r="BP92" i="32"/>
  <c r="BQ92" i="32"/>
  <c r="BR92" i="32"/>
  <c r="BS92" i="32"/>
  <c r="BT92" i="32"/>
  <c r="BU92" i="32"/>
  <c r="BV92" i="32"/>
  <c r="BW92" i="32"/>
  <c r="BX92" i="32"/>
  <c r="BY92" i="32"/>
  <c r="BZ92" i="32"/>
  <c r="CA92" i="32"/>
  <c r="CB92" i="32"/>
  <c r="CC92" i="32"/>
  <c r="CD92" i="32"/>
  <c r="CE92" i="32"/>
  <c r="CF92" i="32"/>
  <c r="CG92" i="32"/>
  <c r="CH92" i="32"/>
  <c r="CI92" i="32"/>
  <c r="CJ92" i="32"/>
  <c r="CK92" i="32"/>
  <c r="CL92" i="32"/>
  <c r="CM92" i="32"/>
  <c r="CN92" i="32"/>
  <c r="CO92" i="32"/>
  <c r="CP92" i="32"/>
  <c r="CQ92" i="32"/>
  <c r="CR92" i="32"/>
  <c r="CS92" i="32"/>
  <c r="CT92" i="32"/>
  <c r="CU92" i="32"/>
  <c r="CV92" i="32"/>
  <c r="CW92" i="32"/>
  <c r="CX92" i="32"/>
  <c r="CY92" i="32"/>
  <c r="CZ92" i="32"/>
  <c r="DA92" i="32"/>
  <c r="DB92" i="32"/>
  <c r="DC92" i="32"/>
  <c r="DD92" i="32"/>
  <c r="DE92" i="32"/>
  <c r="DF92" i="32"/>
  <c r="DG92" i="32"/>
  <c r="DH92" i="32"/>
  <c r="DI92" i="32"/>
  <c r="DJ92" i="32"/>
  <c r="DK92" i="32"/>
  <c r="DL92" i="32"/>
  <c r="DM92" i="32"/>
  <c r="DN92" i="32"/>
  <c r="DO92" i="32"/>
  <c r="DP92" i="32"/>
  <c r="DQ92" i="32"/>
  <c r="DR92" i="32"/>
  <c r="DS92" i="32"/>
  <c r="DT92" i="32"/>
  <c r="DU92" i="32"/>
  <c r="DV92" i="32"/>
  <c r="DW92" i="32"/>
  <c r="DX92" i="32"/>
  <c r="DY92" i="32"/>
  <c r="DZ92" i="32"/>
  <c r="EA92" i="32"/>
  <c r="EB92" i="32"/>
  <c r="EC92" i="32"/>
  <c r="ED92" i="32"/>
  <c r="EE92" i="32"/>
  <c r="EF92" i="32"/>
  <c r="EG92" i="32"/>
  <c r="EH92" i="32"/>
  <c r="EI92" i="32"/>
  <c r="EJ92" i="32"/>
  <c r="EK92" i="32"/>
  <c r="EL92" i="32"/>
  <c r="EM92" i="32"/>
  <c r="EN92" i="32"/>
  <c r="EO92" i="32"/>
  <c r="EP92" i="32"/>
  <c r="EQ92" i="32"/>
  <c r="ER92" i="32"/>
  <c r="ES92" i="32"/>
  <c r="ET92" i="32"/>
  <c r="EU92" i="32"/>
  <c r="EV92" i="32"/>
  <c r="EW92" i="32"/>
  <c r="EX92" i="32"/>
  <c r="EY92" i="32"/>
  <c r="EZ92" i="32"/>
  <c r="FA92" i="32"/>
  <c r="FB92" i="32"/>
  <c r="FC92" i="32"/>
  <c r="FD92" i="32"/>
  <c r="FE92" i="32"/>
  <c r="FF92" i="32"/>
  <c r="FG92" i="32"/>
  <c r="FH92" i="32"/>
  <c r="FI92" i="32"/>
  <c r="FJ92" i="32"/>
  <c r="FK92" i="32"/>
  <c r="FL92" i="32"/>
  <c r="FM92" i="32"/>
  <c r="FN92" i="32"/>
  <c r="FO92" i="32"/>
  <c r="FP92" i="32"/>
  <c r="FQ92" i="32"/>
  <c r="FR92" i="32"/>
  <c r="FS92" i="32"/>
  <c r="FT92" i="32"/>
  <c r="FU92" i="32"/>
  <c r="FV92" i="32"/>
  <c r="FW92" i="32"/>
  <c r="FX92" i="32"/>
  <c r="FY92" i="32"/>
  <c r="FZ92" i="32"/>
  <c r="GA92" i="32"/>
  <c r="GB92" i="32"/>
  <c r="GC92" i="32"/>
  <c r="GD92" i="32"/>
  <c r="GE92" i="32"/>
  <c r="GF92" i="32"/>
  <c r="GG92" i="32"/>
  <c r="GH92" i="32"/>
  <c r="GI92" i="32"/>
  <c r="GJ92" i="32"/>
  <c r="GK92" i="32"/>
  <c r="GL92" i="32"/>
  <c r="GM92" i="32"/>
  <c r="GN92" i="32"/>
  <c r="GO92" i="32"/>
  <c r="GP92" i="32"/>
  <c r="GQ92" i="32"/>
  <c r="GR92" i="32"/>
  <c r="GS92" i="32"/>
  <c r="GT92" i="32"/>
  <c r="GU92" i="32"/>
  <c r="GV92" i="32"/>
  <c r="GW92" i="32"/>
  <c r="GX92" i="32"/>
  <c r="GY92" i="32"/>
  <c r="GZ92" i="32"/>
  <c r="HA92" i="32"/>
  <c r="HB92" i="32"/>
  <c r="HC92" i="32"/>
  <c r="HD92" i="32"/>
  <c r="HE92" i="32"/>
  <c r="HF92" i="32"/>
  <c r="HG92" i="32"/>
  <c r="HH92" i="32"/>
  <c r="HI92" i="32"/>
  <c r="HJ92" i="32"/>
  <c r="HK92" i="32"/>
  <c r="HL92" i="32"/>
  <c r="HM92" i="32"/>
  <c r="HN92" i="32"/>
  <c r="HO92" i="32"/>
  <c r="HP92" i="32"/>
  <c r="HQ92" i="32"/>
  <c r="HR92" i="32"/>
  <c r="HS92" i="32"/>
  <c r="HT92" i="32"/>
  <c r="HU92" i="32"/>
  <c r="HV92" i="32"/>
  <c r="HW92" i="32"/>
  <c r="HX92" i="32"/>
  <c r="HY92" i="32"/>
  <c r="HZ92" i="32"/>
  <c r="IA92" i="32"/>
  <c r="IB92" i="32"/>
  <c r="IC92" i="32"/>
  <c r="ID92" i="32"/>
  <c r="IE92" i="32"/>
  <c r="IF92" i="32"/>
  <c r="IG92" i="32"/>
  <c r="IH92" i="32"/>
  <c r="II92" i="32"/>
  <c r="IJ92" i="32"/>
  <c r="IK92" i="32"/>
  <c r="IL92" i="32"/>
  <c r="IM92" i="32"/>
  <c r="IN92" i="32"/>
  <c r="IO92" i="32"/>
  <c r="IP92" i="32"/>
  <c r="IQ92" i="32"/>
  <c r="IR92" i="32"/>
  <c r="IS92" i="32"/>
  <c r="IT92" i="32"/>
  <c r="IU92" i="32"/>
  <c r="IV92" i="32"/>
  <c r="A91" i="32"/>
  <c r="B91" i="32"/>
  <c r="C91" i="32"/>
  <c r="D91" i="32"/>
  <c r="E91" i="32"/>
  <c r="F91" i="32"/>
  <c r="G91" i="32"/>
  <c r="H91" i="32"/>
  <c r="I91" i="32"/>
  <c r="J91" i="32"/>
  <c r="K91" i="32"/>
  <c r="L91" i="32"/>
  <c r="M91" i="32"/>
  <c r="N91" i="32"/>
  <c r="O91" i="32"/>
  <c r="P91" i="32"/>
  <c r="Q91" i="32"/>
  <c r="R91" i="32"/>
  <c r="S91" i="32"/>
  <c r="T91" i="32"/>
  <c r="U91" i="32"/>
  <c r="V91" i="32"/>
  <c r="W91" i="32"/>
  <c r="X91" i="32"/>
  <c r="Y91" i="32"/>
  <c r="Z91" i="32"/>
  <c r="AA91" i="32"/>
  <c r="AB91" i="32"/>
  <c r="AC91" i="32"/>
  <c r="AD91" i="32"/>
  <c r="AE91" i="32"/>
  <c r="AF91" i="32"/>
  <c r="AG91" i="32"/>
  <c r="AH91" i="32"/>
  <c r="AI91" i="32"/>
  <c r="AJ91" i="32"/>
  <c r="AK91" i="32"/>
  <c r="AL91" i="32"/>
  <c r="AM91" i="32"/>
  <c r="AN91" i="32"/>
  <c r="AO91" i="32"/>
  <c r="AP91" i="32"/>
  <c r="AQ91" i="32"/>
  <c r="AR91" i="32"/>
  <c r="AS91" i="32"/>
  <c r="AT91" i="32"/>
  <c r="AU91" i="32"/>
  <c r="AV91" i="32"/>
  <c r="AW91" i="32"/>
  <c r="AX91" i="32"/>
  <c r="AY91" i="32"/>
  <c r="AZ91" i="32"/>
  <c r="BA91" i="32"/>
  <c r="BB91" i="32"/>
  <c r="BC91" i="32"/>
  <c r="BD91" i="32"/>
  <c r="BE91" i="32"/>
  <c r="BF91" i="32"/>
  <c r="BG91" i="32"/>
  <c r="BH91" i="32"/>
  <c r="BI91" i="32"/>
  <c r="BJ91" i="32"/>
  <c r="BK91" i="32"/>
  <c r="BL91" i="32"/>
  <c r="BM91" i="32"/>
  <c r="BN91" i="32"/>
  <c r="BO91" i="32"/>
  <c r="BP91" i="32"/>
  <c r="BQ91" i="32"/>
  <c r="BR91" i="32"/>
  <c r="BS91" i="32"/>
  <c r="BT91" i="32"/>
  <c r="BU91" i="32"/>
  <c r="BV91" i="32"/>
  <c r="BW91" i="32"/>
  <c r="BX91" i="32"/>
  <c r="BY91" i="32"/>
  <c r="BZ91" i="32"/>
  <c r="CA91" i="32"/>
  <c r="CB91" i="32"/>
  <c r="CC91" i="32"/>
  <c r="CD91" i="32"/>
  <c r="CE91" i="32"/>
  <c r="CF91" i="32"/>
  <c r="CG91" i="32"/>
  <c r="CH91" i="32"/>
  <c r="CI91" i="32"/>
  <c r="CJ91" i="32"/>
  <c r="CK91" i="32"/>
  <c r="CL91" i="32"/>
  <c r="CM91" i="32"/>
  <c r="CN91" i="32"/>
  <c r="CO91" i="32"/>
  <c r="CP91" i="32"/>
  <c r="CQ91" i="32"/>
  <c r="CR91" i="32"/>
  <c r="CS91" i="32"/>
  <c r="CT91" i="32"/>
  <c r="CU91" i="32"/>
  <c r="CV91" i="32"/>
  <c r="CW91" i="32"/>
  <c r="CX91" i="32"/>
  <c r="CY91" i="32"/>
  <c r="CZ91" i="32"/>
  <c r="DA91" i="32"/>
  <c r="DB91" i="32"/>
  <c r="DC91" i="32"/>
  <c r="DD91" i="32"/>
  <c r="DE91" i="32"/>
  <c r="DF91" i="32"/>
  <c r="DG91" i="32"/>
  <c r="DH91" i="32"/>
  <c r="DI91" i="32"/>
  <c r="DJ91" i="32"/>
  <c r="DK91" i="32"/>
  <c r="DL91" i="32"/>
  <c r="DM91" i="32"/>
  <c r="DN91" i="32"/>
  <c r="DO91" i="32"/>
  <c r="DP91" i="32"/>
  <c r="DQ91" i="32"/>
  <c r="DR91" i="32"/>
  <c r="DS91" i="32"/>
  <c r="DT91" i="32"/>
  <c r="DU91" i="32"/>
  <c r="DV91" i="32"/>
  <c r="DW91" i="32"/>
  <c r="DX91" i="32"/>
  <c r="DY91" i="32"/>
  <c r="DZ91" i="32"/>
  <c r="EA91" i="32"/>
  <c r="EB91" i="32"/>
  <c r="EC91" i="32"/>
  <c r="ED91" i="32"/>
  <c r="EE91" i="32"/>
  <c r="EF91" i="32"/>
  <c r="EG91" i="32"/>
  <c r="EH91" i="32"/>
  <c r="EI91" i="32"/>
  <c r="EJ91" i="32"/>
  <c r="EK91" i="32"/>
  <c r="EL91" i="32"/>
  <c r="EM91" i="32"/>
  <c r="EN91" i="32"/>
  <c r="EO91" i="32"/>
  <c r="EP91" i="32"/>
  <c r="EQ91" i="32"/>
  <c r="ER91" i="32"/>
  <c r="ES91" i="32"/>
  <c r="ET91" i="32"/>
  <c r="EU91" i="32"/>
  <c r="EV91" i="32"/>
  <c r="EW91" i="32"/>
  <c r="EX91" i="32"/>
  <c r="EY91" i="32"/>
  <c r="EZ91" i="32"/>
  <c r="FA91" i="32"/>
  <c r="FB91" i="32"/>
  <c r="FC91" i="32"/>
  <c r="FD91" i="32"/>
  <c r="FE91" i="32"/>
  <c r="FF91" i="32"/>
  <c r="FG91" i="32"/>
  <c r="FH91" i="32"/>
  <c r="FI91" i="32"/>
  <c r="FJ91" i="32"/>
  <c r="FK91" i="32"/>
  <c r="FL91" i="32"/>
  <c r="FM91" i="32"/>
  <c r="FN91" i="32"/>
  <c r="FO91" i="32"/>
  <c r="FP91" i="32"/>
  <c r="FQ91" i="32"/>
  <c r="FR91" i="32"/>
  <c r="FS91" i="32"/>
  <c r="FT91" i="32"/>
  <c r="FU91" i="32"/>
  <c r="FV91" i="32"/>
  <c r="FW91" i="32"/>
  <c r="FX91" i="32"/>
  <c r="FY91" i="32"/>
  <c r="FZ91" i="32"/>
  <c r="GA91" i="32"/>
  <c r="GB91" i="32"/>
  <c r="GC91" i="32"/>
  <c r="GD91" i="32"/>
  <c r="GE91" i="32"/>
  <c r="GF91" i="32"/>
  <c r="GG91" i="32"/>
  <c r="GH91" i="32"/>
  <c r="GI91" i="32"/>
  <c r="GJ91" i="32"/>
  <c r="GK91" i="32"/>
  <c r="GL91" i="32"/>
  <c r="GM91" i="32"/>
  <c r="GN91" i="32"/>
  <c r="GO91" i="32"/>
  <c r="GP91" i="32"/>
  <c r="GQ91" i="32"/>
  <c r="GR91" i="32"/>
  <c r="GS91" i="32"/>
  <c r="GT91" i="32"/>
  <c r="GU91" i="32"/>
  <c r="GV91" i="32"/>
  <c r="GW91" i="32"/>
  <c r="GX91" i="32"/>
  <c r="GY91" i="32"/>
  <c r="GZ91" i="32"/>
  <c r="HA91" i="32"/>
  <c r="HB91" i="32"/>
  <c r="HC91" i="32"/>
  <c r="HD91" i="32"/>
  <c r="HE91" i="32"/>
  <c r="HF91" i="32"/>
  <c r="HG91" i="32"/>
  <c r="HH91" i="32"/>
  <c r="HI91" i="32"/>
  <c r="HJ91" i="32"/>
  <c r="HK91" i="32"/>
  <c r="HL91" i="32"/>
  <c r="HM91" i="32"/>
  <c r="HN91" i="32"/>
  <c r="HO91" i="32"/>
  <c r="HP91" i="32"/>
  <c r="HQ91" i="32"/>
  <c r="HR91" i="32"/>
  <c r="HS91" i="32"/>
  <c r="HT91" i="32"/>
  <c r="HU91" i="32"/>
  <c r="HV91" i="32"/>
  <c r="HW91" i="32"/>
  <c r="HX91" i="32"/>
  <c r="HY91" i="32"/>
  <c r="HZ91" i="32"/>
  <c r="IA91" i="32"/>
  <c r="IB91" i="32"/>
  <c r="IC91" i="32"/>
  <c r="ID91" i="32"/>
  <c r="IE91" i="32"/>
  <c r="IF91" i="32"/>
  <c r="IG91" i="32"/>
  <c r="IH91" i="32"/>
  <c r="II91" i="32"/>
  <c r="IJ91" i="32"/>
  <c r="IK91" i="32"/>
  <c r="IL91" i="32"/>
  <c r="IM91" i="32"/>
  <c r="IN91" i="32"/>
  <c r="IO91" i="32"/>
  <c r="IP91" i="32"/>
  <c r="IQ91" i="32"/>
  <c r="IR91" i="32"/>
  <c r="IS91" i="32"/>
  <c r="IT91" i="32"/>
  <c r="IU91" i="32"/>
  <c r="IV91" i="32"/>
  <c r="A90" i="32"/>
  <c r="B90" i="32"/>
  <c r="C90" i="32"/>
  <c r="D90" i="32"/>
  <c r="E90" i="32"/>
  <c r="F90" i="32"/>
  <c r="G90" i="32"/>
  <c r="H90" i="32"/>
  <c r="I90" i="32"/>
  <c r="J90" i="32"/>
  <c r="K90" i="32"/>
  <c r="L90" i="32"/>
  <c r="M90" i="32"/>
  <c r="N90" i="32"/>
  <c r="O90" i="32"/>
  <c r="P90" i="32"/>
  <c r="Q90" i="32"/>
  <c r="R90" i="32"/>
  <c r="S90" i="32"/>
  <c r="T90" i="32"/>
  <c r="U90" i="32"/>
  <c r="V90" i="32"/>
  <c r="W90" i="32"/>
  <c r="X90" i="32"/>
  <c r="Y90" i="32"/>
  <c r="Z90" i="32"/>
  <c r="AA90" i="32"/>
  <c r="AB90" i="32"/>
  <c r="AC90" i="32"/>
  <c r="AD90" i="32"/>
  <c r="AE90" i="32"/>
  <c r="AF90" i="32"/>
  <c r="AG90" i="32"/>
  <c r="AH90" i="32"/>
  <c r="AI90" i="32"/>
  <c r="AJ90" i="32"/>
  <c r="AK90" i="32"/>
  <c r="AL90" i="32"/>
  <c r="AM90" i="32"/>
  <c r="AN90" i="32"/>
  <c r="AO90" i="32"/>
  <c r="AP90" i="32"/>
  <c r="AQ90" i="32"/>
  <c r="AR90" i="32"/>
  <c r="AS90" i="32"/>
  <c r="AT90" i="32"/>
  <c r="AU90" i="32"/>
  <c r="AV90" i="32"/>
  <c r="AW90" i="32"/>
  <c r="AX90" i="32"/>
  <c r="AY90" i="32"/>
  <c r="AZ90" i="32"/>
  <c r="BA90" i="32"/>
  <c r="BB90" i="32"/>
  <c r="BC90" i="32"/>
  <c r="BD90" i="32"/>
  <c r="BE90" i="32"/>
  <c r="BF90" i="32"/>
  <c r="BG90" i="32"/>
  <c r="BH90" i="32"/>
  <c r="BI90" i="32"/>
  <c r="BJ90" i="32"/>
  <c r="BK90" i="32"/>
  <c r="BL90" i="32"/>
  <c r="BM90" i="32"/>
  <c r="BN90" i="32"/>
  <c r="BO90" i="32"/>
  <c r="BP90" i="32"/>
  <c r="BQ90" i="32"/>
  <c r="BR90" i="32"/>
  <c r="BS90" i="32"/>
  <c r="BT90" i="32"/>
  <c r="BU90" i="32"/>
  <c r="BV90" i="32"/>
  <c r="BW90" i="32"/>
  <c r="BX90" i="32"/>
  <c r="BY90" i="32"/>
  <c r="BZ90" i="32"/>
  <c r="CA90" i="32"/>
  <c r="CB90" i="32"/>
  <c r="CC90" i="32"/>
  <c r="CD90" i="32"/>
  <c r="CE90" i="32"/>
  <c r="CF90" i="32"/>
  <c r="CG90" i="32"/>
  <c r="CH90" i="32"/>
  <c r="CI90" i="32"/>
  <c r="CJ90" i="32"/>
  <c r="CK90" i="32"/>
  <c r="CL90" i="32"/>
  <c r="CM90" i="32"/>
  <c r="CN90" i="32"/>
  <c r="CO90" i="32"/>
  <c r="CP90" i="32"/>
  <c r="CQ90" i="32"/>
  <c r="CR90" i="32"/>
  <c r="CS90" i="32"/>
  <c r="CT90" i="32"/>
  <c r="CU90" i="32"/>
  <c r="CV90" i="32"/>
  <c r="CW90" i="32"/>
  <c r="CX90" i="32"/>
  <c r="CY90" i="32"/>
  <c r="CZ90" i="32"/>
  <c r="DA90" i="32"/>
  <c r="DB90" i="32"/>
  <c r="DC90" i="32"/>
  <c r="DD90" i="32"/>
  <c r="DE90" i="32"/>
  <c r="DF90" i="32"/>
  <c r="DG90" i="32"/>
  <c r="DH90" i="32"/>
  <c r="DI90" i="32"/>
  <c r="DJ90" i="32"/>
  <c r="DK90" i="32"/>
  <c r="DL90" i="32"/>
  <c r="DM90" i="32"/>
  <c r="DN90" i="32"/>
  <c r="DO90" i="32"/>
  <c r="DP90" i="32"/>
  <c r="DQ90" i="32"/>
  <c r="DR90" i="32"/>
  <c r="DS90" i="32"/>
  <c r="DT90" i="32"/>
  <c r="DU90" i="32"/>
  <c r="DV90" i="32"/>
  <c r="DW90" i="32"/>
  <c r="DX90" i="32"/>
  <c r="DY90" i="32"/>
  <c r="DZ90" i="32"/>
  <c r="EA90" i="32"/>
  <c r="EB90" i="32"/>
  <c r="EC90" i="32"/>
  <c r="ED90" i="32"/>
  <c r="EE90" i="32"/>
  <c r="EF90" i="32"/>
  <c r="EG90" i="32"/>
  <c r="EH90" i="32"/>
  <c r="EI90" i="32"/>
  <c r="EJ90" i="32"/>
  <c r="EK90" i="32"/>
  <c r="EL90" i="32"/>
  <c r="EM90" i="32"/>
  <c r="EN90" i="32"/>
  <c r="EO90" i="32"/>
  <c r="EP90" i="32"/>
  <c r="EQ90" i="32"/>
  <c r="ER90" i="32"/>
  <c r="ES90" i="32"/>
  <c r="ET90" i="32"/>
  <c r="EU90" i="32"/>
  <c r="EV90" i="32"/>
  <c r="EW90" i="32"/>
  <c r="EX90" i="32"/>
  <c r="EY90" i="32"/>
  <c r="EZ90" i="32"/>
  <c r="FA90" i="32"/>
  <c r="FB90" i="32"/>
  <c r="FC90" i="32"/>
  <c r="FD90" i="32"/>
  <c r="FE90" i="32"/>
  <c r="FF90" i="32"/>
  <c r="FG90" i="32"/>
  <c r="FH90" i="32"/>
  <c r="FI90" i="32"/>
  <c r="FJ90" i="32"/>
  <c r="FK90" i="32"/>
  <c r="FL90" i="32"/>
  <c r="FM90" i="32"/>
  <c r="FN90" i="32"/>
  <c r="FO90" i="32"/>
  <c r="FP90" i="32"/>
  <c r="FQ90" i="32"/>
  <c r="FR90" i="32"/>
  <c r="FS90" i="32"/>
  <c r="FT90" i="32"/>
  <c r="FU90" i="32"/>
  <c r="FV90" i="32"/>
  <c r="FW90" i="32"/>
  <c r="FX90" i="32"/>
  <c r="FY90" i="32"/>
  <c r="FZ90" i="32"/>
  <c r="GA90" i="32"/>
  <c r="GB90" i="32"/>
  <c r="GC90" i="32"/>
  <c r="GD90" i="32"/>
  <c r="GE90" i="32"/>
  <c r="GF90" i="32"/>
  <c r="GG90" i="32"/>
  <c r="GH90" i="32"/>
  <c r="GI90" i="32"/>
  <c r="GJ90" i="32"/>
  <c r="GK90" i="32"/>
  <c r="GL90" i="32"/>
  <c r="GM90" i="32"/>
  <c r="GN90" i="32"/>
  <c r="GO90" i="32"/>
  <c r="GP90" i="32"/>
  <c r="GQ90" i="32"/>
  <c r="GR90" i="32"/>
  <c r="GS90" i="32"/>
  <c r="GT90" i="32"/>
  <c r="GU90" i="32"/>
  <c r="GV90" i="32"/>
  <c r="GW90" i="32"/>
  <c r="GX90" i="32"/>
  <c r="GY90" i="32"/>
  <c r="GZ90" i="32"/>
  <c r="HA90" i="32"/>
  <c r="HB90" i="32"/>
  <c r="HC90" i="32"/>
  <c r="HD90" i="32"/>
  <c r="HE90" i="32"/>
  <c r="HF90" i="32"/>
  <c r="HG90" i="32"/>
  <c r="HH90" i="32"/>
  <c r="HI90" i="32"/>
  <c r="HJ90" i="32"/>
  <c r="HK90" i="32"/>
  <c r="HL90" i="32"/>
  <c r="HM90" i="32"/>
  <c r="HN90" i="32"/>
  <c r="HO90" i="32"/>
  <c r="HP90" i="32"/>
  <c r="HQ90" i="32"/>
  <c r="HR90" i="32"/>
  <c r="HS90" i="32"/>
  <c r="HT90" i="32"/>
  <c r="HU90" i="32"/>
  <c r="HV90" i="32"/>
  <c r="HW90" i="32"/>
  <c r="HX90" i="32"/>
  <c r="HY90" i="32"/>
  <c r="HZ90" i="32"/>
  <c r="IA90" i="32"/>
  <c r="IB90" i="32"/>
  <c r="IC90" i="32"/>
  <c r="ID90" i="32"/>
  <c r="IE90" i="32"/>
  <c r="IF90" i="32"/>
  <c r="IG90" i="32"/>
  <c r="IH90" i="32"/>
  <c r="II90" i="32"/>
  <c r="IJ90" i="32"/>
  <c r="IK90" i="32"/>
  <c r="IL90" i="32"/>
  <c r="IM90" i="32"/>
  <c r="IN90" i="32"/>
  <c r="IO90" i="32"/>
  <c r="IP90" i="32"/>
  <c r="IQ90" i="32"/>
  <c r="IR90" i="32"/>
  <c r="IS90" i="32"/>
  <c r="IT90" i="32"/>
  <c r="IU90" i="32"/>
  <c r="IV90" i="32"/>
  <c r="A89" i="32"/>
  <c r="B89" i="32"/>
  <c r="C89" i="32"/>
  <c r="D89" i="32"/>
  <c r="E89" i="32"/>
  <c r="F89" i="32"/>
  <c r="G89" i="32"/>
  <c r="H89" i="32"/>
  <c r="I89" i="32"/>
  <c r="J89" i="32"/>
  <c r="K89" i="32"/>
  <c r="L89" i="32"/>
  <c r="M89" i="32"/>
  <c r="N89" i="32"/>
  <c r="O89" i="32"/>
  <c r="P89" i="32"/>
  <c r="Q89" i="32"/>
  <c r="R89" i="32"/>
  <c r="S89" i="32"/>
  <c r="T89" i="32"/>
  <c r="U89" i="32"/>
  <c r="V89" i="32"/>
  <c r="W89" i="32"/>
  <c r="X89" i="32"/>
  <c r="Y89" i="32"/>
  <c r="Z89" i="32"/>
  <c r="AA89" i="32"/>
  <c r="AB89" i="32"/>
  <c r="AC89" i="32"/>
  <c r="AD89" i="32"/>
  <c r="AE89" i="32"/>
  <c r="AF89" i="32"/>
  <c r="AG89" i="32"/>
  <c r="AH89" i="32"/>
  <c r="AI89" i="32"/>
  <c r="AJ89" i="32"/>
  <c r="AK89" i="32"/>
  <c r="AL89" i="32"/>
  <c r="AM89" i="32"/>
  <c r="AN89" i="32"/>
  <c r="AO89" i="32"/>
  <c r="AP89" i="32"/>
  <c r="AQ89" i="32"/>
  <c r="AR89" i="32"/>
  <c r="AS89" i="32"/>
  <c r="AT89" i="32"/>
  <c r="AU89" i="32"/>
  <c r="AV89" i="32"/>
  <c r="AW89" i="32"/>
  <c r="AX89" i="32"/>
  <c r="AY89" i="32"/>
  <c r="AZ89" i="32"/>
  <c r="BA89" i="32"/>
  <c r="BB89" i="32"/>
  <c r="BC89" i="32"/>
  <c r="BD89" i="32"/>
  <c r="BE89" i="32"/>
  <c r="BF89" i="32"/>
  <c r="BG89" i="32"/>
  <c r="BH89" i="32"/>
  <c r="BI89" i="32"/>
  <c r="BJ89" i="32"/>
  <c r="BK89" i="32"/>
  <c r="BL89" i="32"/>
  <c r="BM89" i="32"/>
  <c r="BN89" i="32"/>
  <c r="BO89" i="32"/>
  <c r="BP89" i="32"/>
  <c r="BQ89" i="32"/>
  <c r="BR89" i="32"/>
  <c r="BS89" i="32"/>
  <c r="BT89" i="32"/>
  <c r="BU89" i="32"/>
  <c r="BV89" i="32"/>
  <c r="BW89" i="32"/>
  <c r="BX89" i="32"/>
  <c r="BY89" i="32"/>
  <c r="BZ89" i="32"/>
  <c r="CA89" i="32"/>
  <c r="CB89" i="32"/>
  <c r="CC89" i="32"/>
  <c r="CD89" i="32"/>
  <c r="CE89" i="32"/>
  <c r="CF89" i="32"/>
  <c r="CG89" i="32"/>
  <c r="CH89" i="32"/>
  <c r="CI89" i="32"/>
  <c r="CJ89" i="32"/>
  <c r="CK89" i="32"/>
  <c r="CL89" i="32"/>
  <c r="CM89" i="32"/>
  <c r="CN89" i="32"/>
  <c r="CO89" i="32"/>
  <c r="CP89" i="32"/>
  <c r="CQ89" i="32"/>
  <c r="CR89" i="32"/>
  <c r="CS89" i="32"/>
  <c r="CT89" i="32"/>
  <c r="CU89" i="32"/>
  <c r="CV89" i="32"/>
  <c r="CW89" i="32"/>
  <c r="CX89" i="32"/>
  <c r="CY89" i="32"/>
  <c r="CZ89" i="32"/>
  <c r="DA89" i="32"/>
  <c r="DB89" i="32"/>
  <c r="DC89" i="32"/>
  <c r="DD89" i="32"/>
  <c r="DE89" i="32"/>
  <c r="DF89" i="32"/>
  <c r="DG89" i="32"/>
  <c r="DH89" i="32"/>
  <c r="DI89" i="32"/>
  <c r="DJ89" i="32"/>
  <c r="DK89" i="32"/>
  <c r="DL89" i="32"/>
  <c r="DM89" i="32"/>
  <c r="DN89" i="32"/>
  <c r="DO89" i="32"/>
  <c r="DP89" i="32"/>
  <c r="DQ89" i="32"/>
  <c r="DR89" i="32"/>
  <c r="DS89" i="32"/>
  <c r="DT89" i="32"/>
  <c r="DU89" i="32"/>
  <c r="DV89" i="32"/>
  <c r="DW89" i="32"/>
  <c r="DX89" i="32"/>
  <c r="DY89" i="32"/>
  <c r="DZ89" i="32"/>
  <c r="EA89" i="32"/>
  <c r="EB89" i="32"/>
  <c r="EC89" i="32"/>
  <c r="ED89" i="32"/>
  <c r="EE89" i="32"/>
  <c r="EF89" i="32"/>
  <c r="EG89" i="32"/>
  <c r="EH89" i="32"/>
  <c r="EI89" i="32"/>
  <c r="EJ89" i="32"/>
  <c r="EK89" i="32"/>
  <c r="EL89" i="32"/>
  <c r="EM89" i="32"/>
  <c r="EN89" i="32"/>
  <c r="EO89" i="32"/>
  <c r="EP89" i="32"/>
  <c r="EQ89" i="32"/>
  <c r="ER89" i="32"/>
  <c r="ES89" i="32"/>
  <c r="ET89" i="32"/>
  <c r="EU89" i="32"/>
  <c r="EV89" i="32"/>
  <c r="EW89" i="32"/>
  <c r="EX89" i="32"/>
  <c r="EY89" i="32"/>
  <c r="EZ89" i="32"/>
  <c r="FA89" i="32"/>
  <c r="FB89" i="32"/>
  <c r="FC89" i="32"/>
  <c r="FD89" i="32"/>
  <c r="FE89" i="32"/>
  <c r="FF89" i="32"/>
  <c r="FG89" i="32"/>
  <c r="FH89" i="32"/>
  <c r="FI89" i="32"/>
  <c r="FJ89" i="32"/>
  <c r="FK89" i="32"/>
  <c r="FL89" i="32"/>
  <c r="FM89" i="32"/>
  <c r="FN89" i="32"/>
  <c r="FO89" i="32"/>
  <c r="FP89" i="32"/>
  <c r="FQ89" i="32"/>
  <c r="FR89" i="32"/>
  <c r="FS89" i="32"/>
  <c r="FT89" i="32"/>
  <c r="FU89" i="32"/>
  <c r="FV89" i="32"/>
  <c r="FW89" i="32"/>
  <c r="FX89" i="32"/>
  <c r="FY89" i="32"/>
  <c r="FZ89" i="32"/>
  <c r="GA89" i="32"/>
  <c r="GB89" i="32"/>
  <c r="GC89" i="32"/>
  <c r="GD89" i="32"/>
  <c r="GE89" i="32"/>
  <c r="GF89" i="32"/>
  <c r="GG89" i="32"/>
  <c r="GH89" i="32"/>
  <c r="GI89" i="32"/>
  <c r="GJ89" i="32"/>
  <c r="GK89" i="32"/>
  <c r="GL89" i="32"/>
  <c r="GM89" i="32"/>
  <c r="GN89" i="32"/>
  <c r="GO89" i="32"/>
  <c r="GP89" i="32"/>
  <c r="GQ89" i="32"/>
  <c r="GR89" i="32"/>
  <c r="GS89" i="32"/>
  <c r="GT89" i="32"/>
  <c r="GU89" i="32"/>
  <c r="GV89" i="32"/>
  <c r="GW89" i="32"/>
  <c r="GX89" i="32"/>
  <c r="GY89" i="32"/>
  <c r="GZ89" i="32"/>
  <c r="HA89" i="32"/>
  <c r="HB89" i="32"/>
  <c r="HC89" i="32"/>
  <c r="HD89" i="32"/>
  <c r="HE89" i="32"/>
  <c r="HF89" i="32"/>
  <c r="HG89" i="32"/>
  <c r="HH89" i="32"/>
  <c r="HI89" i="32"/>
  <c r="HJ89" i="32"/>
  <c r="HK89" i="32"/>
  <c r="HL89" i="32"/>
  <c r="HM89" i="32"/>
  <c r="HN89" i="32"/>
  <c r="HO89" i="32"/>
  <c r="HP89" i="32"/>
  <c r="HQ89" i="32"/>
  <c r="HR89" i="32"/>
  <c r="HS89" i="32"/>
  <c r="HT89" i="32"/>
  <c r="HU89" i="32"/>
  <c r="HV89" i="32"/>
  <c r="HW89" i="32"/>
  <c r="HX89" i="32"/>
  <c r="HY89" i="32"/>
  <c r="HZ89" i="32"/>
  <c r="IA89" i="32"/>
  <c r="IB89" i="32"/>
  <c r="IC89" i="32"/>
  <c r="ID89" i="32"/>
  <c r="IE89" i="32"/>
  <c r="IF89" i="32"/>
  <c r="IG89" i="32"/>
  <c r="IH89" i="32"/>
  <c r="II89" i="32"/>
  <c r="IJ89" i="32"/>
  <c r="IK89" i="32"/>
  <c r="IL89" i="32"/>
  <c r="IM89" i="32"/>
  <c r="IN89" i="32"/>
  <c r="IO89" i="32"/>
  <c r="IP89" i="32"/>
  <c r="IQ89" i="32"/>
  <c r="IR89" i="32"/>
  <c r="IS89" i="32"/>
  <c r="IT89" i="32"/>
  <c r="IU89" i="32"/>
  <c r="IV89" i="32"/>
  <c r="A88" i="32"/>
  <c r="B88" i="32"/>
  <c r="C88" i="32"/>
  <c r="D88" i="32"/>
  <c r="E88" i="32"/>
  <c r="F88" i="32"/>
  <c r="G88" i="32"/>
  <c r="H88" i="32"/>
  <c r="I88" i="32"/>
  <c r="J88" i="32"/>
  <c r="K88" i="32"/>
  <c r="L88" i="32"/>
  <c r="M88" i="32"/>
  <c r="N88" i="32"/>
  <c r="O88" i="32"/>
  <c r="P88" i="32"/>
  <c r="Q88" i="32"/>
  <c r="R88" i="32"/>
  <c r="S88" i="32"/>
  <c r="T88" i="32"/>
  <c r="U88" i="32"/>
  <c r="V88" i="32"/>
  <c r="W88" i="32"/>
  <c r="X88" i="32"/>
  <c r="Y88" i="32"/>
  <c r="Z88" i="32"/>
  <c r="AA88" i="32"/>
  <c r="AB88" i="32"/>
  <c r="AC88" i="32"/>
  <c r="AD88" i="32"/>
  <c r="AE88" i="32"/>
  <c r="AF88" i="32"/>
  <c r="AG88" i="32"/>
  <c r="AH88" i="32"/>
  <c r="AI88" i="32"/>
  <c r="AJ88" i="32"/>
  <c r="AK88" i="32"/>
  <c r="AL88" i="32"/>
  <c r="AM88" i="32"/>
  <c r="AN88" i="32"/>
  <c r="AO88" i="32"/>
  <c r="AP88" i="32"/>
  <c r="AQ88" i="32"/>
  <c r="AR88" i="32"/>
  <c r="AS88" i="32"/>
  <c r="AT88" i="32"/>
  <c r="AU88" i="32"/>
  <c r="AV88" i="32"/>
  <c r="AW88" i="32"/>
  <c r="AX88" i="32"/>
  <c r="AY88" i="32"/>
  <c r="AZ88" i="32"/>
  <c r="BA88" i="32"/>
  <c r="BB88" i="32"/>
  <c r="BC88" i="32"/>
  <c r="BD88" i="32"/>
  <c r="BE88" i="32"/>
  <c r="BF88" i="32"/>
  <c r="BG88" i="32"/>
  <c r="BH88" i="32"/>
  <c r="BI88" i="32"/>
  <c r="BJ88" i="32"/>
  <c r="BK88" i="32"/>
  <c r="BL88" i="32"/>
  <c r="BM88" i="32"/>
  <c r="BN88" i="32"/>
  <c r="BO88" i="32"/>
  <c r="BP88" i="32"/>
  <c r="BQ88" i="32"/>
  <c r="BR88" i="32"/>
  <c r="BS88" i="32"/>
  <c r="BT88" i="32"/>
  <c r="BU88" i="32"/>
  <c r="BV88" i="32"/>
  <c r="BW88" i="32"/>
  <c r="BX88" i="32"/>
  <c r="BY88" i="32"/>
  <c r="BZ88" i="32"/>
  <c r="CA88" i="32"/>
  <c r="CB88" i="32"/>
  <c r="CC88" i="32"/>
  <c r="CD88" i="32"/>
  <c r="CE88" i="32"/>
  <c r="CF88" i="32"/>
  <c r="CG88" i="32"/>
  <c r="CH88" i="32"/>
  <c r="CI88" i="32"/>
  <c r="CJ88" i="32"/>
  <c r="CK88" i="32"/>
  <c r="CL88" i="32"/>
  <c r="CM88" i="32"/>
  <c r="CN88" i="32"/>
  <c r="CO88" i="32"/>
  <c r="CP88" i="32"/>
  <c r="CQ88" i="32"/>
  <c r="CR88" i="32"/>
  <c r="CS88" i="32"/>
  <c r="CT88" i="32"/>
  <c r="CU88" i="32"/>
  <c r="CV88" i="32"/>
  <c r="CW88" i="32"/>
  <c r="CX88" i="32"/>
  <c r="CY88" i="32"/>
  <c r="CZ88" i="32"/>
  <c r="DA88" i="32"/>
  <c r="DB88" i="32"/>
  <c r="DC88" i="32"/>
  <c r="DD88" i="32"/>
  <c r="DE88" i="32"/>
  <c r="DF88" i="32"/>
  <c r="DG88" i="32"/>
  <c r="DH88" i="32"/>
  <c r="DI88" i="32"/>
  <c r="DJ88" i="32"/>
  <c r="DK88" i="32"/>
  <c r="DL88" i="32"/>
  <c r="DM88" i="32"/>
  <c r="DN88" i="32"/>
  <c r="DO88" i="32"/>
  <c r="DP88" i="32"/>
  <c r="DQ88" i="32"/>
  <c r="DR88" i="32"/>
  <c r="DS88" i="32"/>
  <c r="DT88" i="32"/>
  <c r="DU88" i="32"/>
  <c r="DV88" i="32"/>
  <c r="DW88" i="32"/>
  <c r="DX88" i="32"/>
  <c r="DY88" i="32"/>
  <c r="DZ88" i="32"/>
  <c r="EA88" i="32"/>
  <c r="EB88" i="32"/>
  <c r="EC88" i="32"/>
  <c r="ED88" i="32"/>
  <c r="EE88" i="32"/>
  <c r="EF88" i="32"/>
  <c r="EG88" i="32"/>
  <c r="EH88" i="32"/>
  <c r="EI88" i="32"/>
  <c r="EJ88" i="32"/>
  <c r="EK88" i="32"/>
  <c r="EL88" i="32"/>
  <c r="EM88" i="32"/>
  <c r="EN88" i="32"/>
  <c r="EO88" i="32"/>
  <c r="EP88" i="32"/>
  <c r="EQ88" i="32"/>
  <c r="ER88" i="32"/>
  <c r="ES88" i="32"/>
  <c r="ET88" i="32"/>
  <c r="EU88" i="32"/>
  <c r="EV88" i="32"/>
  <c r="EW88" i="32"/>
  <c r="EX88" i="32"/>
  <c r="EY88" i="32"/>
  <c r="EZ88" i="32"/>
  <c r="FA88" i="32"/>
  <c r="FB88" i="32"/>
  <c r="FC88" i="32"/>
  <c r="FD88" i="32"/>
  <c r="FE88" i="32"/>
  <c r="FF88" i="32"/>
  <c r="FG88" i="32"/>
  <c r="FH88" i="32"/>
  <c r="FI88" i="32"/>
  <c r="FJ88" i="32"/>
  <c r="FK88" i="32"/>
  <c r="FL88" i="32"/>
  <c r="FM88" i="32"/>
  <c r="FN88" i="32"/>
  <c r="FO88" i="32"/>
  <c r="FP88" i="32"/>
  <c r="FQ88" i="32"/>
  <c r="FR88" i="32"/>
  <c r="FS88" i="32"/>
  <c r="FT88" i="32"/>
  <c r="FU88" i="32"/>
  <c r="FV88" i="32"/>
  <c r="FW88" i="32"/>
  <c r="FX88" i="32"/>
  <c r="FY88" i="32"/>
  <c r="FZ88" i="32"/>
  <c r="GA88" i="32"/>
  <c r="GB88" i="32"/>
  <c r="GC88" i="32"/>
  <c r="GD88" i="32"/>
  <c r="GE88" i="32"/>
  <c r="GF88" i="32"/>
  <c r="GG88" i="32"/>
  <c r="GH88" i="32"/>
  <c r="GI88" i="32"/>
  <c r="GJ88" i="32"/>
  <c r="GK88" i="32"/>
  <c r="GL88" i="32"/>
  <c r="GM88" i="32"/>
  <c r="GN88" i="32"/>
  <c r="GO88" i="32"/>
  <c r="GP88" i="32"/>
  <c r="GQ88" i="32"/>
  <c r="GR88" i="32"/>
  <c r="GS88" i="32"/>
  <c r="GT88" i="32"/>
  <c r="GU88" i="32"/>
  <c r="GV88" i="32"/>
  <c r="GW88" i="32"/>
  <c r="GX88" i="32"/>
  <c r="GY88" i="32"/>
  <c r="GZ88" i="32"/>
  <c r="HA88" i="32"/>
  <c r="HB88" i="32"/>
  <c r="HC88" i="32"/>
  <c r="HD88" i="32"/>
  <c r="HE88" i="32"/>
  <c r="HF88" i="32"/>
  <c r="HG88" i="32"/>
  <c r="HH88" i="32"/>
  <c r="HI88" i="32"/>
  <c r="HJ88" i="32"/>
  <c r="HK88" i="32"/>
  <c r="HL88" i="32"/>
  <c r="HM88" i="32"/>
  <c r="HN88" i="32"/>
  <c r="HO88" i="32"/>
  <c r="HP88" i="32"/>
  <c r="HQ88" i="32"/>
  <c r="HR88" i="32"/>
  <c r="HS88" i="32"/>
  <c r="HT88" i="32"/>
  <c r="HU88" i="32"/>
  <c r="HV88" i="32"/>
  <c r="HW88" i="32"/>
  <c r="HX88" i="32"/>
  <c r="HY88" i="32"/>
  <c r="HZ88" i="32"/>
  <c r="IA88" i="32"/>
  <c r="IB88" i="32"/>
  <c r="IC88" i="32"/>
  <c r="ID88" i="32"/>
  <c r="IE88" i="32"/>
  <c r="IF88" i="32"/>
  <c r="IG88" i="32"/>
  <c r="IH88" i="32"/>
  <c r="II88" i="32"/>
  <c r="IJ88" i="32"/>
  <c r="IK88" i="32"/>
  <c r="IL88" i="32"/>
  <c r="IM88" i="32"/>
  <c r="IN88" i="32"/>
  <c r="IO88" i="32"/>
  <c r="IP88" i="32"/>
  <c r="IQ88" i="32"/>
  <c r="IR88" i="32"/>
  <c r="IS88" i="32"/>
  <c r="IT88" i="32"/>
  <c r="IU88" i="32"/>
  <c r="IV88" i="32"/>
  <c r="A87" i="32"/>
  <c r="B87" i="32"/>
  <c r="C87" i="32"/>
  <c r="D87" i="32"/>
  <c r="E87" i="32"/>
  <c r="F87" i="32"/>
  <c r="G87" i="32"/>
  <c r="H87" i="32"/>
  <c r="I87" i="32"/>
  <c r="J87" i="32"/>
  <c r="K87" i="32"/>
  <c r="L87" i="32"/>
  <c r="M87" i="32"/>
  <c r="N87" i="32"/>
  <c r="O87" i="32"/>
  <c r="P87" i="32"/>
  <c r="Q87" i="32"/>
  <c r="R87" i="32"/>
  <c r="S87" i="32"/>
  <c r="T87" i="32"/>
  <c r="U87" i="32"/>
  <c r="V87" i="32"/>
  <c r="W87" i="32"/>
  <c r="X87" i="32"/>
  <c r="Y87" i="32"/>
  <c r="Z87" i="32"/>
  <c r="AA87" i="32"/>
  <c r="AB87" i="32"/>
  <c r="AC87" i="32"/>
  <c r="AD87" i="32"/>
  <c r="AE87" i="32"/>
  <c r="AF87" i="32"/>
  <c r="AG87" i="32"/>
  <c r="AH87" i="32"/>
  <c r="AI87" i="32"/>
  <c r="AJ87" i="32"/>
  <c r="AK87" i="32"/>
  <c r="AL87" i="32"/>
  <c r="AM87" i="32"/>
  <c r="AN87" i="32"/>
  <c r="AO87" i="32"/>
  <c r="AP87" i="32"/>
  <c r="AQ87" i="32"/>
  <c r="AR87" i="32"/>
  <c r="AS87" i="32"/>
  <c r="AT87" i="32"/>
  <c r="AU87" i="32"/>
  <c r="AV87" i="32"/>
  <c r="AW87" i="32"/>
  <c r="AX87" i="32"/>
  <c r="AY87" i="32"/>
  <c r="AZ87" i="32"/>
  <c r="BA87" i="32"/>
  <c r="BB87" i="32"/>
  <c r="BC87" i="32"/>
  <c r="BD87" i="32"/>
  <c r="BE87" i="32"/>
  <c r="BF87" i="32"/>
  <c r="BG87" i="32"/>
  <c r="BH87" i="32"/>
  <c r="BI87" i="32"/>
  <c r="BJ87" i="32"/>
  <c r="BK87" i="32"/>
  <c r="BL87" i="32"/>
  <c r="BM87" i="32"/>
  <c r="BN87" i="32"/>
  <c r="BO87" i="32"/>
  <c r="BP87" i="32"/>
  <c r="BQ87" i="32"/>
  <c r="BR87" i="32"/>
  <c r="BS87" i="32"/>
  <c r="BT87" i="32"/>
  <c r="BU87" i="32"/>
  <c r="BV87" i="32"/>
  <c r="BW87" i="32"/>
  <c r="BX87" i="32"/>
  <c r="BY87" i="32"/>
  <c r="BZ87" i="32"/>
  <c r="CA87" i="32"/>
  <c r="CB87" i="32"/>
  <c r="CC87" i="32"/>
  <c r="CD87" i="32"/>
  <c r="CE87" i="32"/>
  <c r="CF87" i="32"/>
  <c r="CG87" i="32"/>
  <c r="CH87" i="32"/>
  <c r="CI87" i="32"/>
  <c r="CJ87" i="32"/>
  <c r="CK87" i="32"/>
  <c r="CL87" i="32"/>
  <c r="CM87" i="32"/>
  <c r="CN87" i="32"/>
  <c r="CO87" i="32"/>
  <c r="CP87" i="32"/>
  <c r="CQ87" i="32"/>
  <c r="CR87" i="32"/>
  <c r="CS87" i="32"/>
  <c r="CT87" i="32"/>
  <c r="CU87" i="32"/>
  <c r="CV87" i="32"/>
  <c r="CW87" i="32"/>
  <c r="CX87" i="32"/>
  <c r="CY87" i="32"/>
  <c r="CZ87" i="32"/>
  <c r="DA87" i="32"/>
  <c r="DB87" i="32"/>
  <c r="DC87" i="32"/>
  <c r="DD87" i="32"/>
  <c r="DE87" i="32"/>
  <c r="DF87" i="32"/>
  <c r="DG87" i="32"/>
  <c r="DH87" i="32"/>
  <c r="DI87" i="32"/>
  <c r="DJ87" i="32"/>
  <c r="DK87" i="32"/>
  <c r="DL87" i="32"/>
  <c r="DM87" i="32"/>
  <c r="DN87" i="32"/>
  <c r="DO87" i="32"/>
  <c r="DP87" i="32"/>
  <c r="DQ87" i="32"/>
  <c r="DR87" i="32"/>
  <c r="DS87" i="32"/>
  <c r="DT87" i="32"/>
  <c r="DU87" i="32"/>
  <c r="DV87" i="32"/>
  <c r="DW87" i="32"/>
  <c r="DX87" i="32"/>
  <c r="DY87" i="32"/>
  <c r="DZ87" i="32"/>
  <c r="EA87" i="32"/>
  <c r="EB87" i="32"/>
  <c r="EC87" i="32"/>
  <c r="ED87" i="32"/>
  <c r="EE87" i="32"/>
  <c r="EF87" i="32"/>
  <c r="EG87" i="32"/>
  <c r="EH87" i="32"/>
  <c r="EI87" i="32"/>
  <c r="EJ87" i="32"/>
  <c r="EK87" i="32"/>
  <c r="EL87" i="32"/>
  <c r="EM87" i="32"/>
  <c r="EN87" i="32"/>
  <c r="EO87" i="32"/>
  <c r="EP87" i="32"/>
  <c r="EQ87" i="32"/>
  <c r="ER87" i="32"/>
  <c r="ES87" i="32"/>
  <c r="ET87" i="32"/>
  <c r="EU87" i="32"/>
  <c r="EV87" i="32"/>
  <c r="EW87" i="32"/>
  <c r="EX87" i="32"/>
  <c r="EY87" i="32"/>
  <c r="EZ87" i="32"/>
  <c r="FA87" i="32"/>
  <c r="FB87" i="32"/>
  <c r="FC87" i="32"/>
  <c r="FD87" i="32"/>
  <c r="FE87" i="32"/>
  <c r="FF87" i="32"/>
  <c r="FG87" i="32"/>
  <c r="FH87" i="32"/>
  <c r="FI87" i="32"/>
  <c r="FJ87" i="32"/>
  <c r="FK87" i="32"/>
  <c r="FL87" i="32"/>
  <c r="FM87" i="32"/>
  <c r="FN87" i="32"/>
  <c r="FO87" i="32"/>
  <c r="FP87" i="32"/>
  <c r="FQ87" i="32"/>
  <c r="FR87" i="32"/>
  <c r="FS87" i="32"/>
  <c r="FT87" i="32"/>
  <c r="FU87" i="32"/>
  <c r="FV87" i="32"/>
  <c r="FW87" i="32"/>
  <c r="FX87" i="32"/>
  <c r="FY87" i="32"/>
  <c r="FZ87" i="32"/>
  <c r="GA87" i="32"/>
  <c r="GB87" i="32"/>
  <c r="GC87" i="32"/>
  <c r="GD87" i="32"/>
  <c r="GE87" i="32"/>
  <c r="GF87" i="32"/>
  <c r="GG87" i="32"/>
  <c r="GH87" i="32"/>
  <c r="GI87" i="32"/>
  <c r="GJ87" i="32"/>
  <c r="GK87" i="32"/>
  <c r="GL87" i="32"/>
  <c r="GM87" i="32"/>
  <c r="GN87" i="32"/>
  <c r="GO87" i="32"/>
  <c r="GP87" i="32"/>
  <c r="GQ87" i="32"/>
  <c r="GR87" i="32"/>
  <c r="GS87" i="32"/>
  <c r="GT87" i="32"/>
  <c r="GU87" i="32"/>
  <c r="GV87" i="32"/>
  <c r="GW87" i="32"/>
  <c r="GX87" i="32"/>
  <c r="GY87" i="32"/>
  <c r="GZ87" i="32"/>
  <c r="HA87" i="32"/>
  <c r="HB87" i="32"/>
  <c r="HC87" i="32"/>
  <c r="HD87" i="32"/>
  <c r="HE87" i="32"/>
  <c r="HF87" i="32"/>
  <c r="HG87" i="32"/>
  <c r="HH87" i="32"/>
  <c r="HI87" i="32"/>
  <c r="HJ87" i="32"/>
  <c r="HK87" i="32"/>
  <c r="HL87" i="32"/>
  <c r="HM87" i="32"/>
  <c r="HN87" i="32"/>
  <c r="HO87" i="32"/>
  <c r="HP87" i="32"/>
  <c r="HQ87" i="32"/>
  <c r="HR87" i="32"/>
  <c r="HS87" i="32"/>
  <c r="HT87" i="32"/>
  <c r="HU87" i="32"/>
  <c r="HV87" i="32"/>
  <c r="HW87" i="32"/>
  <c r="HX87" i="32"/>
  <c r="HY87" i="32"/>
  <c r="HZ87" i="32"/>
  <c r="IA87" i="32"/>
  <c r="IB87" i="32"/>
  <c r="IC87" i="32"/>
  <c r="ID87" i="32"/>
  <c r="IE87" i="32"/>
  <c r="IF87" i="32"/>
  <c r="IG87" i="32"/>
  <c r="IH87" i="32"/>
  <c r="II87" i="32"/>
  <c r="IJ87" i="32"/>
  <c r="IK87" i="32"/>
  <c r="IL87" i="32"/>
  <c r="IM87" i="32"/>
  <c r="IN87" i="32"/>
  <c r="IO87" i="32"/>
  <c r="IP87" i="32"/>
  <c r="IQ87" i="32"/>
  <c r="IR87" i="32"/>
  <c r="IS87" i="32"/>
  <c r="IT87" i="32"/>
  <c r="IU87" i="32"/>
  <c r="IV87" i="32"/>
  <c r="A86" i="32"/>
  <c r="B86" i="32"/>
  <c r="C86" i="32"/>
  <c r="D86" i="32"/>
  <c r="E86" i="32"/>
  <c r="F86" i="32"/>
  <c r="G86" i="32"/>
  <c r="H86" i="32"/>
  <c r="I86" i="32"/>
  <c r="J86" i="32"/>
  <c r="K86" i="32"/>
  <c r="L86" i="32"/>
  <c r="M86" i="32"/>
  <c r="N86" i="32"/>
  <c r="O86" i="32"/>
  <c r="P86" i="32"/>
  <c r="Q86" i="32"/>
  <c r="R86" i="32"/>
  <c r="S86" i="32"/>
  <c r="T86" i="32"/>
  <c r="U86" i="32"/>
  <c r="V86" i="32"/>
  <c r="W86" i="32"/>
  <c r="X86" i="32"/>
  <c r="Y86" i="32"/>
  <c r="Z86" i="32"/>
  <c r="AA86" i="32"/>
  <c r="AB86" i="32"/>
  <c r="AC86" i="32"/>
  <c r="AD86" i="32"/>
  <c r="AE86" i="32"/>
  <c r="AF86" i="32"/>
  <c r="AG86" i="32"/>
  <c r="AH86" i="32"/>
  <c r="AI86" i="32"/>
  <c r="AJ86" i="32"/>
  <c r="AK86" i="32"/>
  <c r="AL86" i="32"/>
  <c r="AM86" i="32"/>
  <c r="AN86" i="32"/>
  <c r="AO86" i="32"/>
  <c r="AP86" i="32"/>
  <c r="AQ86" i="32"/>
  <c r="AR86" i="32"/>
  <c r="AS86" i="32"/>
  <c r="AT86" i="32"/>
  <c r="AU86" i="32"/>
  <c r="AV86" i="32"/>
  <c r="AW86" i="32"/>
  <c r="AX86" i="32"/>
  <c r="AY86" i="32"/>
  <c r="AZ86" i="32"/>
  <c r="BA86" i="32"/>
  <c r="BB86" i="32"/>
  <c r="BC86" i="32"/>
  <c r="BD86" i="32"/>
  <c r="BE86" i="32"/>
  <c r="BF86" i="32"/>
  <c r="BG86" i="32"/>
  <c r="BH86" i="32"/>
  <c r="BI86" i="32"/>
  <c r="BJ86" i="32"/>
  <c r="BK86" i="32"/>
  <c r="BL86" i="32"/>
  <c r="BM86" i="32"/>
  <c r="BN86" i="32"/>
  <c r="BO86" i="32"/>
  <c r="BP86" i="32"/>
  <c r="BQ86" i="32"/>
  <c r="BR86" i="32"/>
  <c r="BS86" i="32"/>
  <c r="BT86" i="32"/>
  <c r="BU86" i="32"/>
  <c r="BV86" i="32"/>
  <c r="BW86" i="32"/>
  <c r="BX86" i="32"/>
  <c r="BY86" i="32"/>
  <c r="BZ86" i="32"/>
  <c r="CA86" i="32"/>
  <c r="CB86" i="32"/>
  <c r="CC86" i="32"/>
  <c r="CD86" i="32"/>
  <c r="CE86" i="32"/>
  <c r="CF86" i="32"/>
  <c r="CG86" i="32"/>
  <c r="CH86" i="32"/>
  <c r="CI86" i="32"/>
  <c r="CJ86" i="32"/>
  <c r="CK86" i="32"/>
  <c r="CL86" i="32"/>
  <c r="CM86" i="32"/>
  <c r="CN86" i="32"/>
  <c r="CO86" i="32"/>
  <c r="CP86" i="32"/>
  <c r="CQ86" i="32"/>
  <c r="CR86" i="32"/>
  <c r="CS86" i="32"/>
  <c r="CT86" i="32"/>
  <c r="CU86" i="32"/>
  <c r="CV86" i="32"/>
  <c r="CW86" i="32"/>
  <c r="CX86" i="32"/>
  <c r="CY86" i="32"/>
  <c r="CZ86" i="32"/>
  <c r="DA86" i="32"/>
  <c r="DB86" i="32"/>
  <c r="DC86" i="32"/>
  <c r="DD86" i="32"/>
  <c r="DE86" i="32"/>
  <c r="DF86" i="32"/>
  <c r="DG86" i="32"/>
  <c r="DH86" i="32"/>
  <c r="DI86" i="32"/>
  <c r="DJ86" i="32"/>
  <c r="DK86" i="32"/>
  <c r="DL86" i="32"/>
  <c r="DM86" i="32"/>
  <c r="DN86" i="32"/>
  <c r="DO86" i="32"/>
  <c r="DP86" i="32"/>
  <c r="DQ86" i="32"/>
  <c r="DR86" i="32"/>
  <c r="DS86" i="32"/>
  <c r="DT86" i="32"/>
  <c r="DU86" i="32"/>
  <c r="DV86" i="32"/>
  <c r="DW86" i="32"/>
  <c r="DX86" i="32"/>
  <c r="DY86" i="32"/>
  <c r="DZ86" i="32"/>
  <c r="EA86" i="32"/>
  <c r="EB86" i="32"/>
  <c r="EC86" i="32"/>
  <c r="ED86" i="32"/>
  <c r="EE86" i="32"/>
  <c r="EF86" i="32"/>
  <c r="EG86" i="32"/>
  <c r="EH86" i="32"/>
  <c r="EI86" i="32"/>
  <c r="EJ86" i="32"/>
  <c r="EK86" i="32"/>
  <c r="EL86" i="32"/>
  <c r="EM86" i="32"/>
  <c r="EN86" i="32"/>
  <c r="EO86" i="32"/>
  <c r="EP86" i="32"/>
  <c r="EQ86" i="32"/>
  <c r="ER86" i="32"/>
  <c r="ES86" i="32"/>
  <c r="ET86" i="32"/>
  <c r="EU86" i="32"/>
  <c r="EV86" i="32"/>
  <c r="EW86" i="32"/>
  <c r="EX86" i="32"/>
  <c r="EY86" i="32"/>
  <c r="EZ86" i="32"/>
  <c r="FA86" i="32"/>
  <c r="FB86" i="32"/>
  <c r="FC86" i="32"/>
  <c r="FD86" i="32"/>
  <c r="FE86" i="32"/>
  <c r="FF86" i="32"/>
  <c r="FG86" i="32"/>
  <c r="FH86" i="32"/>
  <c r="FI86" i="32"/>
  <c r="FJ86" i="32"/>
  <c r="FK86" i="32"/>
  <c r="FL86" i="32"/>
  <c r="FM86" i="32"/>
  <c r="FN86" i="32"/>
  <c r="FO86" i="32"/>
  <c r="FP86" i="32"/>
  <c r="FQ86" i="32"/>
  <c r="FR86" i="32"/>
  <c r="FS86" i="32"/>
  <c r="FT86" i="32"/>
  <c r="FU86" i="32"/>
  <c r="FV86" i="32"/>
  <c r="FW86" i="32"/>
  <c r="FX86" i="32"/>
  <c r="FY86" i="32"/>
  <c r="FZ86" i="32"/>
  <c r="GA86" i="32"/>
  <c r="GB86" i="32"/>
  <c r="GC86" i="32"/>
  <c r="GD86" i="32"/>
  <c r="GE86" i="32"/>
  <c r="GF86" i="32"/>
  <c r="GG86" i="32"/>
  <c r="GH86" i="32"/>
  <c r="GI86" i="32"/>
  <c r="GJ86" i="32"/>
  <c r="GK86" i="32"/>
  <c r="GL86" i="32"/>
  <c r="GM86" i="32"/>
  <c r="GN86" i="32"/>
  <c r="GO86" i="32"/>
  <c r="GP86" i="32"/>
  <c r="GQ86" i="32"/>
  <c r="GR86" i="32"/>
  <c r="GS86" i="32"/>
  <c r="GT86" i="32"/>
  <c r="GU86" i="32"/>
  <c r="GV86" i="32"/>
  <c r="GW86" i="32"/>
  <c r="GX86" i="32"/>
  <c r="GY86" i="32"/>
  <c r="GZ86" i="32"/>
  <c r="HA86" i="32"/>
  <c r="HB86" i="32"/>
  <c r="HC86" i="32"/>
  <c r="HD86" i="32"/>
  <c r="HE86" i="32"/>
  <c r="HF86" i="32"/>
  <c r="HG86" i="32"/>
  <c r="HH86" i="32"/>
  <c r="HI86" i="32"/>
  <c r="HJ86" i="32"/>
  <c r="HK86" i="32"/>
  <c r="HL86" i="32"/>
  <c r="HM86" i="32"/>
  <c r="HN86" i="32"/>
  <c r="HO86" i="32"/>
  <c r="HP86" i="32"/>
  <c r="HQ86" i="32"/>
  <c r="HR86" i="32"/>
  <c r="HS86" i="32"/>
  <c r="HT86" i="32"/>
  <c r="HU86" i="32"/>
  <c r="HV86" i="32"/>
  <c r="HW86" i="32"/>
  <c r="HX86" i="32"/>
  <c r="HY86" i="32"/>
  <c r="HZ86" i="32"/>
  <c r="IA86" i="32"/>
  <c r="IB86" i="32"/>
  <c r="IC86" i="32"/>
  <c r="ID86" i="32"/>
  <c r="IE86" i="32"/>
  <c r="IF86" i="32"/>
  <c r="IG86" i="32"/>
  <c r="IH86" i="32"/>
  <c r="II86" i="32"/>
  <c r="IJ86" i="32"/>
  <c r="IK86" i="32"/>
  <c r="IL86" i="32"/>
  <c r="IM86" i="32"/>
  <c r="IN86" i="32"/>
  <c r="IO86" i="32"/>
  <c r="IP86" i="32"/>
  <c r="IQ86" i="32"/>
  <c r="IR86" i="32"/>
  <c r="IS86" i="32"/>
  <c r="IT86" i="32"/>
  <c r="IU86" i="32"/>
  <c r="IV86" i="32"/>
  <c r="A85" i="32"/>
  <c r="B85" i="32"/>
  <c r="C85" i="32"/>
  <c r="D85" i="32"/>
  <c r="E85" i="32"/>
  <c r="F85" i="32"/>
  <c r="G85" i="32"/>
  <c r="H85" i="32"/>
  <c r="I85" i="32"/>
  <c r="J85" i="32"/>
  <c r="K85" i="32"/>
  <c r="L85" i="32"/>
  <c r="M85" i="32"/>
  <c r="N85" i="32"/>
  <c r="O85" i="32"/>
  <c r="P85" i="32"/>
  <c r="Q85" i="32"/>
  <c r="R85" i="32"/>
  <c r="S85" i="32"/>
  <c r="T85" i="32"/>
  <c r="U85" i="32"/>
  <c r="V85" i="32"/>
  <c r="W85" i="32"/>
  <c r="X85" i="32"/>
  <c r="Y85" i="32"/>
  <c r="Z85" i="32"/>
  <c r="AA85" i="32"/>
  <c r="AB85" i="32"/>
  <c r="AC85" i="32"/>
  <c r="AD85" i="32"/>
  <c r="AE85" i="32"/>
  <c r="AF85" i="32"/>
  <c r="AG85" i="32"/>
  <c r="AH85" i="32"/>
  <c r="AI85" i="32"/>
  <c r="AJ85" i="32"/>
  <c r="AK85" i="32"/>
  <c r="AL85" i="32"/>
  <c r="AM85" i="32"/>
  <c r="AN85" i="32"/>
  <c r="AO85" i="32"/>
  <c r="AP85" i="32"/>
  <c r="AQ85" i="32"/>
  <c r="AR85" i="32"/>
  <c r="AS85" i="32"/>
  <c r="AT85" i="32"/>
  <c r="AU85" i="32"/>
  <c r="AV85" i="32"/>
  <c r="AW85" i="32"/>
  <c r="AX85" i="32"/>
  <c r="AY85" i="32"/>
  <c r="AZ85" i="32"/>
  <c r="BA85" i="32"/>
  <c r="BB85" i="32"/>
  <c r="BC85" i="32"/>
  <c r="BD85" i="32"/>
  <c r="BE85" i="32"/>
  <c r="BF85" i="32"/>
  <c r="BG85" i="32"/>
  <c r="BH85" i="32"/>
  <c r="BI85" i="32"/>
  <c r="BJ85" i="32"/>
  <c r="BK85" i="32"/>
  <c r="BL85" i="32"/>
  <c r="BM85" i="32"/>
  <c r="BN85" i="32"/>
  <c r="BO85" i="32"/>
  <c r="BP85" i="32"/>
  <c r="BQ85" i="32"/>
  <c r="BR85" i="32"/>
  <c r="BS85" i="32"/>
  <c r="BT85" i="32"/>
  <c r="BU85" i="32"/>
  <c r="BV85" i="32"/>
  <c r="BW85" i="32"/>
  <c r="BX85" i="32"/>
  <c r="BY85" i="32"/>
  <c r="BZ85" i="32"/>
  <c r="CA85" i="32"/>
  <c r="CB85" i="32"/>
  <c r="CC85" i="32"/>
  <c r="CD85" i="32"/>
  <c r="CE85" i="32"/>
  <c r="CF85" i="32"/>
  <c r="CG85" i="32"/>
  <c r="CH85" i="32"/>
  <c r="CI85" i="32"/>
  <c r="CJ85" i="32"/>
  <c r="CK85" i="32"/>
  <c r="CL85" i="32"/>
  <c r="CM85" i="32"/>
  <c r="CN85" i="32"/>
  <c r="CO85" i="32"/>
  <c r="CP85" i="32"/>
  <c r="CQ85" i="32"/>
  <c r="CR85" i="32"/>
  <c r="CS85" i="32"/>
  <c r="CT85" i="32"/>
  <c r="CU85" i="32"/>
  <c r="CV85" i="32"/>
  <c r="CW85" i="32"/>
  <c r="CX85" i="32"/>
  <c r="CY85" i="32"/>
  <c r="CZ85" i="32"/>
  <c r="DA85" i="32"/>
  <c r="DB85" i="32"/>
  <c r="DC85" i="32"/>
  <c r="DD85" i="32"/>
  <c r="DE85" i="32"/>
  <c r="DF85" i="32"/>
  <c r="DG85" i="32"/>
  <c r="DH85" i="32"/>
  <c r="DI85" i="32"/>
  <c r="DJ85" i="32"/>
  <c r="DK85" i="32"/>
  <c r="DL85" i="32"/>
  <c r="DM85" i="32"/>
  <c r="DN85" i="32"/>
  <c r="DO85" i="32"/>
  <c r="DP85" i="32"/>
  <c r="DQ85" i="32"/>
  <c r="DR85" i="32"/>
  <c r="DS85" i="32"/>
  <c r="DT85" i="32"/>
  <c r="DU85" i="32"/>
  <c r="DV85" i="32"/>
  <c r="DW85" i="32"/>
  <c r="DX85" i="32"/>
  <c r="DY85" i="32"/>
  <c r="DZ85" i="32"/>
  <c r="EA85" i="32"/>
  <c r="EB85" i="32"/>
  <c r="EC85" i="32"/>
  <c r="ED85" i="32"/>
  <c r="EE85" i="32"/>
  <c r="EF85" i="32"/>
  <c r="EG85" i="32"/>
  <c r="EH85" i="32"/>
  <c r="EI85" i="32"/>
  <c r="EJ85" i="32"/>
  <c r="EK85" i="32"/>
  <c r="EL85" i="32"/>
  <c r="EM85" i="32"/>
  <c r="EN85" i="32"/>
  <c r="EO85" i="32"/>
  <c r="EP85" i="32"/>
  <c r="EQ85" i="32"/>
  <c r="ER85" i="32"/>
  <c r="ES85" i="32"/>
  <c r="ET85" i="32"/>
  <c r="EU85" i="32"/>
  <c r="EV85" i="32"/>
  <c r="EW85" i="32"/>
  <c r="EX85" i="32"/>
  <c r="EY85" i="32"/>
  <c r="EZ85" i="32"/>
  <c r="FA85" i="32"/>
  <c r="FB85" i="32"/>
  <c r="FC85" i="32"/>
  <c r="FD85" i="32"/>
  <c r="FE85" i="32"/>
  <c r="FF85" i="32"/>
  <c r="FG85" i="32"/>
  <c r="FH85" i="32"/>
  <c r="FI85" i="32"/>
  <c r="FJ85" i="32"/>
  <c r="FK85" i="32"/>
  <c r="FL85" i="32"/>
  <c r="FM85" i="32"/>
  <c r="FN85" i="32"/>
  <c r="FO85" i="32"/>
  <c r="FP85" i="32"/>
  <c r="FQ85" i="32"/>
  <c r="FR85" i="32"/>
  <c r="FS85" i="32"/>
  <c r="FT85" i="32"/>
  <c r="FU85" i="32"/>
  <c r="FV85" i="32"/>
  <c r="FW85" i="32"/>
  <c r="FX85" i="32"/>
  <c r="FY85" i="32"/>
  <c r="FZ85" i="32"/>
  <c r="GA85" i="32"/>
  <c r="GB85" i="32"/>
  <c r="GC85" i="32"/>
  <c r="GD85" i="32"/>
  <c r="GE85" i="32"/>
  <c r="GF85" i="32"/>
  <c r="GG85" i="32"/>
  <c r="GH85" i="32"/>
  <c r="GI85" i="32"/>
  <c r="GJ85" i="32"/>
  <c r="GK85" i="32"/>
  <c r="GL85" i="32"/>
  <c r="GM85" i="32"/>
  <c r="GN85" i="32"/>
  <c r="GO85" i="32"/>
  <c r="GP85" i="32"/>
  <c r="GQ85" i="32"/>
  <c r="GR85" i="32"/>
  <c r="GS85" i="32"/>
  <c r="GT85" i="32"/>
  <c r="GU85" i="32"/>
  <c r="GV85" i="32"/>
  <c r="GW85" i="32"/>
  <c r="GX85" i="32"/>
  <c r="GY85" i="32"/>
  <c r="GZ85" i="32"/>
  <c r="HA85" i="32"/>
  <c r="HB85" i="32"/>
  <c r="HC85" i="32"/>
  <c r="HD85" i="32"/>
  <c r="HE85" i="32"/>
  <c r="HF85" i="32"/>
  <c r="HG85" i="32"/>
  <c r="HH85" i="32"/>
  <c r="HI85" i="32"/>
  <c r="HJ85" i="32"/>
  <c r="HK85" i="32"/>
  <c r="HL85" i="32"/>
  <c r="HM85" i="32"/>
  <c r="HN85" i="32"/>
  <c r="HO85" i="32"/>
  <c r="HP85" i="32"/>
  <c r="HQ85" i="32"/>
  <c r="HR85" i="32"/>
  <c r="HS85" i="32"/>
  <c r="HT85" i="32"/>
  <c r="HU85" i="32"/>
  <c r="HV85" i="32"/>
  <c r="HW85" i="32"/>
  <c r="HX85" i="32"/>
  <c r="HY85" i="32"/>
  <c r="HZ85" i="32"/>
  <c r="IA85" i="32"/>
  <c r="IB85" i="32"/>
  <c r="IC85" i="32"/>
  <c r="ID85" i="32"/>
  <c r="IE85" i="32"/>
  <c r="IF85" i="32"/>
  <c r="IG85" i="32"/>
  <c r="IH85" i="32"/>
  <c r="II85" i="32"/>
  <c r="IJ85" i="32"/>
  <c r="IK85" i="32"/>
  <c r="IL85" i="32"/>
  <c r="IM85" i="32"/>
  <c r="IN85" i="32"/>
  <c r="IO85" i="32"/>
  <c r="IP85" i="32"/>
  <c r="IQ85" i="32"/>
  <c r="IR85" i="32"/>
  <c r="IS85" i="32"/>
  <c r="IT85" i="32"/>
  <c r="IU85" i="32"/>
  <c r="IV85" i="32"/>
  <c r="A84" i="32"/>
  <c r="B84" i="32"/>
  <c r="C84" i="32"/>
  <c r="D84" i="32"/>
  <c r="E84" i="32"/>
  <c r="F84" i="32"/>
  <c r="G84" i="32"/>
  <c r="H84" i="32"/>
  <c r="I84" i="32"/>
  <c r="J84" i="32"/>
  <c r="K84" i="32"/>
  <c r="L84" i="32"/>
  <c r="M84" i="32"/>
  <c r="N84" i="32"/>
  <c r="O84" i="32"/>
  <c r="P84" i="32"/>
  <c r="Q84" i="32"/>
  <c r="R84" i="32"/>
  <c r="S84" i="32"/>
  <c r="T84" i="32"/>
  <c r="U84" i="32"/>
  <c r="V84" i="32"/>
  <c r="W84" i="32"/>
  <c r="X84" i="32"/>
  <c r="Y84" i="32"/>
  <c r="Z84" i="32"/>
  <c r="AA84" i="32"/>
  <c r="AB84" i="32"/>
  <c r="AC84" i="32"/>
  <c r="AD84" i="32"/>
  <c r="AE84" i="32"/>
  <c r="AF84" i="32"/>
  <c r="AG84" i="32"/>
  <c r="AH84" i="32"/>
  <c r="AI84" i="32"/>
  <c r="AJ84" i="32"/>
  <c r="AK84" i="32"/>
  <c r="AL84" i="32"/>
  <c r="AM84" i="32"/>
  <c r="AN84" i="32"/>
  <c r="AO84" i="32"/>
  <c r="AP84" i="32"/>
  <c r="AQ84" i="32"/>
  <c r="AR84" i="32"/>
  <c r="AS84" i="32"/>
  <c r="AT84" i="32"/>
  <c r="AU84" i="32"/>
  <c r="AV84" i="32"/>
  <c r="AW84" i="32"/>
  <c r="AX84" i="32"/>
  <c r="AY84" i="32"/>
  <c r="AZ84" i="32"/>
  <c r="BA84" i="32"/>
  <c r="BB84" i="32"/>
  <c r="BC84" i="32"/>
  <c r="BD84" i="32"/>
  <c r="BE84" i="32"/>
  <c r="BF84" i="32"/>
  <c r="BG84" i="32"/>
  <c r="BH84" i="32"/>
  <c r="BI84" i="32"/>
  <c r="BJ84" i="32"/>
  <c r="BK84" i="32"/>
  <c r="BL84" i="32"/>
  <c r="BM84" i="32"/>
  <c r="BN84" i="32"/>
  <c r="BO84" i="32"/>
  <c r="BP84" i="32"/>
  <c r="BQ84" i="32"/>
  <c r="BR84" i="32"/>
  <c r="BS84" i="32"/>
  <c r="BT84" i="32"/>
  <c r="BU84" i="32"/>
  <c r="BV84" i="32"/>
  <c r="BW84" i="32"/>
  <c r="BX84" i="32"/>
  <c r="BY84" i="32"/>
  <c r="BZ84" i="32"/>
  <c r="CA84" i="32"/>
  <c r="CB84" i="32"/>
  <c r="CC84" i="32"/>
  <c r="CD84" i="32"/>
  <c r="CE84" i="32"/>
  <c r="CF84" i="32"/>
  <c r="CG84" i="32"/>
  <c r="CH84" i="32"/>
  <c r="CI84" i="32"/>
  <c r="CJ84" i="32"/>
  <c r="CK84" i="32"/>
  <c r="CL84" i="32"/>
  <c r="CM84" i="32"/>
  <c r="CN84" i="32"/>
  <c r="CO84" i="32"/>
  <c r="CP84" i="32"/>
  <c r="CQ84" i="32"/>
  <c r="CR84" i="32"/>
  <c r="CS84" i="32"/>
  <c r="CT84" i="32"/>
  <c r="CU84" i="32"/>
  <c r="CV84" i="32"/>
  <c r="CW84" i="32"/>
  <c r="CX84" i="32"/>
  <c r="CY84" i="32"/>
  <c r="CZ84" i="32"/>
  <c r="DA84" i="32"/>
  <c r="DB84" i="32"/>
  <c r="DC84" i="32"/>
  <c r="DD84" i="32"/>
  <c r="DE84" i="32"/>
  <c r="DF84" i="32"/>
  <c r="DG84" i="32"/>
  <c r="DH84" i="32"/>
  <c r="DI84" i="32"/>
  <c r="DJ84" i="32"/>
  <c r="DK84" i="32"/>
  <c r="DL84" i="32"/>
  <c r="DM84" i="32"/>
  <c r="DN84" i="32"/>
  <c r="DO84" i="32"/>
  <c r="DP84" i="32"/>
  <c r="DQ84" i="32"/>
  <c r="DR84" i="32"/>
  <c r="DS84" i="32"/>
  <c r="DT84" i="32"/>
  <c r="DU84" i="32"/>
  <c r="DV84" i="32"/>
  <c r="DW84" i="32"/>
  <c r="DX84" i="32"/>
  <c r="DY84" i="32"/>
  <c r="DZ84" i="32"/>
  <c r="EA84" i="32"/>
  <c r="EB84" i="32"/>
  <c r="EC84" i="32"/>
  <c r="ED84" i="32"/>
  <c r="EE84" i="32"/>
  <c r="EF84" i="32"/>
  <c r="EG84" i="32"/>
  <c r="EH84" i="32"/>
  <c r="EI84" i="32"/>
  <c r="EJ84" i="32"/>
  <c r="EK84" i="32"/>
  <c r="EL84" i="32"/>
  <c r="EM84" i="32"/>
  <c r="EN84" i="32"/>
  <c r="EO84" i="32"/>
  <c r="EP84" i="32"/>
  <c r="EQ84" i="32"/>
  <c r="ER84" i="32"/>
  <c r="ES84" i="32"/>
  <c r="ET84" i="32"/>
  <c r="EU84" i="32"/>
  <c r="EV84" i="32"/>
  <c r="EW84" i="32"/>
  <c r="EX84" i="32"/>
  <c r="EY84" i="32"/>
  <c r="EZ84" i="32"/>
  <c r="FA84" i="32"/>
  <c r="FB84" i="32"/>
  <c r="FC84" i="32"/>
  <c r="FD84" i="32"/>
  <c r="FE84" i="32"/>
  <c r="FF84" i="32"/>
  <c r="FG84" i="32"/>
  <c r="FH84" i="32"/>
  <c r="FI84" i="32"/>
  <c r="FJ84" i="32"/>
  <c r="FK84" i="32"/>
  <c r="FL84" i="32"/>
  <c r="FM84" i="32"/>
  <c r="FN84" i="32"/>
  <c r="FO84" i="32"/>
  <c r="FP84" i="32"/>
  <c r="FQ84" i="32"/>
  <c r="FR84" i="32"/>
  <c r="FS84" i="32"/>
  <c r="FT84" i="32"/>
  <c r="FU84" i="32"/>
  <c r="FV84" i="32"/>
  <c r="FW84" i="32"/>
  <c r="FX84" i="32"/>
  <c r="FY84" i="32"/>
  <c r="FZ84" i="32"/>
  <c r="GA84" i="32"/>
  <c r="GB84" i="32"/>
  <c r="GC84" i="32"/>
  <c r="GD84" i="32"/>
  <c r="GE84" i="32"/>
  <c r="GF84" i="32"/>
  <c r="GG84" i="32"/>
  <c r="GH84" i="32"/>
  <c r="GI84" i="32"/>
  <c r="GJ84" i="32"/>
  <c r="GK84" i="32"/>
  <c r="GL84" i="32"/>
  <c r="GM84" i="32"/>
  <c r="GN84" i="32"/>
  <c r="GO84" i="32"/>
  <c r="GP84" i="32"/>
  <c r="GQ84" i="32"/>
  <c r="GR84" i="32"/>
  <c r="GS84" i="32"/>
  <c r="GT84" i="32"/>
  <c r="GU84" i="32"/>
  <c r="GV84" i="32"/>
  <c r="GW84" i="32"/>
  <c r="GX84" i="32"/>
  <c r="GY84" i="32"/>
  <c r="GZ84" i="32"/>
  <c r="HA84" i="32"/>
  <c r="HB84" i="32"/>
  <c r="HC84" i="32"/>
  <c r="HD84" i="32"/>
  <c r="HE84" i="32"/>
  <c r="HF84" i="32"/>
  <c r="HG84" i="32"/>
  <c r="HH84" i="32"/>
  <c r="HI84" i="32"/>
  <c r="HJ84" i="32"/>
  <c r="HK84" i="32"/>
  <c r="HL84" i="32"/>
  <c r="HM84" i="32"/>
  <c r="HN84" i="32"/>
  <c r="HO84" i="32"/>
  <c r="HP84" i="32"/>
  <c r="HQ84" i="32"/>
  <c r="HR84" i="32"/>
  <c r="HS84" i="32"/>
  <c r="HT84" i="32"/>
  <c r="HU84" i="32"/>
  <c r="HV84" i="32"/>
  <c r="HW84" i="32"/>
  <c r="HX84" i="32"/>
  <c r="HY84" i="32"/>
  <c r="HZ84" i="32"/>
  <c r="IA84" i="32"/>
  <c r="IB84" i="32"/>
  <c r="IC84" i="32"/>
  <c r="ID84" i="32"/>
  <c r="IE84" i="32"/>
  <c r="IF84" i="32"/>
  <c r="IG84" i="32"/>
  <c r="IH84" i="32"/>
  <c r="II84" i="32"/>
  <c r="IJ84" i="32"/>
  <c r="IK84" i="32"/>
  <c r="IL84" i="32"/>
  <c r="IM84" i="32"/>
  <c r="IN84" i="32"/>
  <c r="IO84" i="32"/>
  <c r="IP84" i="32"/>
  <c r="IQ84" i="32"/>
  <c r="IR84" i="32"/>
  <c r="IS84" i="32"/>
  <c r="IT84" i="32"/>
  <c r="IU84" i="32"/>
  <c r="IV84" i="32"/>
  <c r="A83" i="32"/>
  <c r="B83" i="32"/>
  <c r="C83" i="32"/>
  <c r="D83" i="32"/>
  <c r="E83" i="32"/>
  <c r="F83" i="32"/>
  <c r="G83" i="32"/>
  <c r="H83" i="32"/>
  <c r="I83" i="32"/>
  <c r="J83" i="32"/>
  <c r="K83" i="32"/>
  <c r="L83" i="32"/>
  <c r="M83" i="32"/>
  <c r="N83" i="32"/>
  <c r="O83" i="32"/>
  <c r="P83" i="32"/>
  <c r="Q83" i="32"/>
  <c r="R83" i="32"/>
  <c r="S83" i="32"/>
  <c r="T83" i="32"/>
  <c r="U83" i="32"/>
  <c r="V83" i="32"/>
  <c r="W83" i="32"/>
  <c r="X83" i="32"/>
  <c r="Y83" i="32"/>
  <c r="Z83" i="32"/>
  <c r="AA83" i="32"/>
  <c r="AB83" i="32"/>
  <c r="AC83" i="32"/>
  <c r="AD83" i="32"/>
  <c r="AE83" i="32"/>
  <c r="AF83" i="32"/>
  <c r="AG83" i="32"/>
  <c r="AH83" i="32"/>
  <c r="AI83" i="32"/>
  <c r="AJ83" i="32"/>
  <c r="AK83" i="32"/>
  <c r="AL83" i="32"/>
  <c r="AM83" i="32"/>
  <c r="AN83" i="32"/>
  <c r="AO83" i="32"/>
  <c r="AP83" i="32"/>
  <c r="AQ83" i="32"/>
  <c r="AR83" i="32"/>
  <c r="AS83" i="32"/>
  <c r="AT83" i="32"/>
  <c r="AU83" i="32"/>
  <c r="AV83" i="32"/>
  <c r="AW83" i="32"/>
  <c r="AX83" i="32"/>
  <c r="AY83" i="32"/>
  <c r="AZ83" i="32"/>
  <c r="BA83" i="32"/>
  <c r="BB83" i="32"/>
  <c r="BC83" i="32"/>
  <c r="BD83" i="32"/>
  <c r="BE83" i="32"/>
  <c r="BF83" i="32"/>
  <c r="BG83" i="32"/>
  <c r="BH83" i="32"/>
  <c r="BI83" i="32"/>
  <c r="BJ83" i="32"/>
  <c r="BK83" i="32"/>
  <c r="BL83" i="32"/>
  <c r="BM83" i="32"/>
  <c r="BN83" i="32"/>
  <c r="BO83" i="32"/>
  <c r="BP83" i="32"/>
  <c r="BQ83" i="32"/>
  <c r="BR83" i="32"/>
  <c r="BS83" i="32"/>
  <c r="BT83" i="32"/>
  <c r="BU83" i="32"/>
  <c r="BV83" i="32"/>
  <c r="BW83" i="32"/>
  <c r="BX83" i="32"/>
  <c r="BY83" i="32"/>
  <c r="BZ83" i="32"/>
  <c r="CA83" i="32"/>
  <c r="CB83" i="32"/>
  <c r="CC83" i="32"/>
  <c r="CD83" i="32"/>
  <c r="CE83" i="32"/>
  <c r="CF83" i="32"/>
  <c r="CG83" i="32"/>
  <c r="CH83" i="32"/>
  <c r="CI83" i="32"/>
  <c r="CJ83" i="32"/>
  <c r="CK83" i="32"/>
  <c r="CL83" i="32"/>
  <c r="CM83" i="32"/>
  <c r="CN83" i="32"/>
  <c r="CO83" i="32"/>
  <c r="CP83" i="32"/>
  <c r="CQ83" i="32"/>
  <c r="CR83" i="32"/>
  <c r="CS83" i="32"/>
  <c r="CT83" i="32"/>
  <c r="CU83" i="32"/>
  <c r="CV83" i="32"/>
  <c r="CW83" i="32"/>
  <c r="CX83" i="32"/>
  <c r="CY83" i="32"/>
  <c r="CZ83" i="32"/>
  <c r="DA83" i="32"/>
  <c r="DB83" i="32"/>
  <c r="DC83" i="32"/>
  <c r="DD83" i="32"/>
  <c r="DE83" i="32"/>
  <c r="DF83" i="32"/>
  <c r="DG83" i="32"/>
  <c r="DH83" i="32"/>
  <c r="DI83" i="32"/>
  <c r="DJ83" i="32"/>
  <c r="DK83" i="32"/>
  <c r="DL83" i="32"/>
  <c r="DM83" i="32"/>
  <c r="DN83" i="32"/>
  <c r="DO83" i="32"/>
  <c r="DP83" i="32"/>
  <c r="DQ83" i="32"/>
  <c r="DR83" i="32"/>
  <c r="DS83" i="32"/>
  <c r="DT83" i="32"/>
  <c r="DU83" i="32"/>
  <c r="DV83" i="32"/>
  <c r="DW83" i="32"/>
  <c r="DX83" i="32"/>
  <c r="DY83" i="32"/>
  <c r="DZ83" i="32"/>
  <c r="EA83" i="32"/>
  <c r="EB83" i="32"/>
  <c r="EC83" i="32"/>
  <c r="ED83" i="32"/>
  <c r="EE83" i="32"/>
  <c r="EF83" i="32"/>
  <c r="EG83" i="32"/>
  <c r="EH83" i="32"/>
  <c r="EI83" i="32"/>
  <c r="EJ83" i="32"/>
  <c r="EK83" i="32"/>
  <c r="EL83" i="32"/>
  <c r="EM83" i="32"/>
  <c r="EN83" i="32"/>
  <c r="EO83" i="32"/>
  <c r="EP83" i="32"/>
  <c r="EQ83" i="32"/>
  <c r="ER83" i="32"/>
  <c r="ES83" i="32"/>
  <c r="ET83" i="32"/>
  <c r="EU83" i="32"/>
  <c r="EV83" i="32"/>
  <c r="EW83" i="32"/>
  <c r="EX83" i="32"/>
  <c r="EY83" i="32"/>
  <c r="EZ83" i="32"/>
  <c r="FA83" i="32"/>
  <c r="FB83" i="32"/>
  <c r="FC83" i="32"/>
  <c r="FD83" i="32"/>
  <c r="FE83" i="32"/>
  <c r="FF83" i="32"/>
  <c r="FG83" i="32"/>
  <c r="FH83" i="32"/>
  <c r="FI83" i="32"/>
  <c r="FJ83" i="32"/>
  <c r="FK83" i="32"/>
  <c r="FL83" i="32"/>
  <c r="FM83" i="32"/>
  <c r="FN83" i="32"/>
  <c r="FO83" i="32"/>
  <c r="FP83" i="32"/>
  <c r="FQ83" i="32"/>
  <c r="FR83" i="32"/>
  <c r="FS83" i="32"/>
  <c r="FT83" i="32"/>
  <c r="FU83" i="32"/>
  <c r="FV83" i="32"/>
  <c r="FW83" i="32"/>
  <c r="FX83" i="32"/>
  <c r="FY83" i="32"/>
  <c r="FZ83" i="32"/>
  <c r="GA83" i="32"/>
  <c r="GB83" i="32"/>
  <c r="GC83" i="32"/>
  <c r="GD83" i="32"/>
  <c r="GE83" i="32"/>
  <c r="GF83" i="32"/>
  <c r="GG83" i="32"/>
  <c r="GH83" i="32"/>
  <c r="GI83" i="32"/>
  <c r="GJ83" i="32"/>
  <c r="GK83" i="32"/>
  <c r="GL83" i="32"/>
  <c r="GM83" i="32"/>
  <c r="GN83" i="32"/>
  <c r="GO83" i="32"/>
  <c r="GP83" i="32"/>
  <c r="GQ83" i="32"/>
  <c r="GR83" i="32"/>
  <c r="GS83" i="32"/>
  <c r="GT83" i="32"/>
  <c r="GU83" i="32"/>
  <c r="GV83" i="32"/>
  <c r="GW83" i="32"/>
  <c r="GX83" i="32"/>
  <c r="GY83" i="32"/>
  <c r="GZ83" i="32"/>
  <c r="HA83" i="32"/>
  <c r="HB83" i="32"/>
  <c r="HC83" i="32"/>
  <c r="HD83" i="32"/>
  <c r="HE83" i="32"/>
  <c r="HF83" i="32"/>
  <c r="HG83" i="32"/>
  <c r="HH83" i="32"/>
  <c r="HI83" i="32"/>
  <c r="HJ83" i="32"/>
  <c r="HK83" i="32"/>
  <c r="HL83" i="32"/>
  <c r="HM83" i="32"/>
  <c r="HN83" i="32"/>
  <c r="HO83" i="32"/>
  <c r="HP83" i="32"/>
  <c r="HQ83" i="32"/>
  <c r="HR83" i="32"/>
  <c r="HS83" i="32"/>
  <c r="HT83" i="32"/>
  <c r="HU83" i="32"/>
  <c r="HV83" i="32"/>
  <c r="HW83" i="32"/>
  <c r="HX83" i="32"/>
  <c r="HY83" i="32"/>
  <c r="HZ83" i="32"/>
  <c r="IA83" i="32"/>
  <c r="IB83" i="32"/>
  <c r="IC83" i="32"/>
  <c r="ID83" i="32"/>
  <c r="IE83" i="32"/>
  <c r="IF83" i="32"/>
  <c r="IG83" i="32"/>
  <c r="IH83" i="32"/>
  <c r="II83" i="32"/>
  <c r="IJ83" i="32"/>
  <c r="IK83" i="32"/>
  <c r="IL83" i="32"/>
  <c r="IM83" i="32"/>
  <c r="IN83" i="32"/>
  <c r="IO83" i="32"/>
  <c r="IP83" i="32"/>
  <c r="IQ83" i="32"/>
  <c r="IR83" i="32"/>
  <c r="IS83" i="32"/>
  <c r="IT83" i="32"/>
  <c r="IU83" i="32"/>
  <c r="IV83" i="32"/>
  <c r="A82" i="32"/>
  <c r="B82" i="32"/>
  <c r="C82" i="32"/>
  <c r="D82" i="32"/>
  <c r="E82" i="32"/>
  <c r="F82" i="32"/>
  <c r="G82" i="32"/>
  <c r="H82" i="32"/>
  <c r="I82" i="32"/>
  <c r="J82" i="32"/>
  <c r="K82" i="32"/>
  <c r="L82" i="32"/>
  <c r="M82" i="32"/>
  <c r="N82" i="32"/>
  <c r="O82" i="32"/>
  <c r="P82" i="32"/>
  <c r="Q82" i="32"/>
  <c r="R82" i="32"/>
  <c r="S82" i="32"/>
  <c r="T82" i="32"/>
  <c r="U82" i="32"/>
  <c r="V82" i="32"/>
  <c r="W82" i="32"/>
  <c r="X82" i="32"/>
  <c r="Y82" i="32"/>
  <c r="Z82" i="32"/>
  <c r="AA82" i="32"/>
  <c r="AB82" i="32"/>
  <c r="AC82" i="32"/>
  <c r="AD82" i="32"/>
  <c r="AE82" i="32"/>
  <c r="AF82" i="32"/>
  <c r="AG82" i="32"/>
  <c r="AH82" i="32"/>
  <c r="AI82" i="32"/>
  <c r="AJ82" i="32"/>
  <c r="AK82" i="32"/>
  <c r="AL82" i="32"/>
  <c r="AM82" i="32"/>
  <c r="AN82" i="32"/>
  <c r="AO82" i="32"/>
  <c r="AP82" i="32"/>
  <c r="AQ82" i="32"/>
  <c r="AR82" i="32"/>
  <c r="AS82" i="32"/>
  <c r="AT82" i="32"/>
  <c r="AU82" i="32"/>
  <c r="AV82" i="32"/>
  <c r="AW82" i="32"/>
  <c r="AX82" i="32"/>
  <c r="AY82" i="32"/>
  <c r="AZ82" i="32"/>
  <c r="BA82" i="32"/>
  <c r="BB82" i="32"/>
  <c r="BC82" i="32"/>
  <c r="BD82" i="32"/>
  <c r="BE82" i="32"/>
  <c r="BF82" i="32"/>
  <c r="BG82" i="32"/>
  <c r="BH82" i="32"/>
  <c r="BI82" i="32"/>
  <c r="BJ82" i="32"/>
  <c r="BK82" i="32"/>
  <c r="BL82" i="32"/>
  <c r="BM82" i="32"/>
  <c r="BN82" i="32"/>
  <c r="BO82" i="32"/>
  <c r="BP82" i="32"/>
  <c r="BQ82" i="32"/>
  <c r="BR82" i="32"/>
  <c r="BS82" i="32"/>
  <c r="BT82" i="32"/>
  <c r="BU82" i="32"/>
  <c r="BV82" i="32"/>
  <c r="BW82" i="32"/>
  <c r="BX82" i="32"/>
  <c r="BY82" i="32"/>
  <c r="BZ82" i="32"/>
  <c r="CA82" i="32"/>
  <c r="CB82" i="32"/>
  <c r="CC82" i="32"/>
  <c r="CD82" i="32"/>
  <c r="CE82" i="32"/>
  <c r="CF82" i="32"/>
  <c r="CG82" i="32"/>
  <c r="CH82" i="32"/>
  <c r="CI82" i="32"/>
  <c r="CJ82" i="32"/>
  <c r="CK82" i="32"/>
  <c r="CL82" i="32"/>
  <c r="CM82" i="32"/>
  <c r="CN82" i="32"/>
  <c r="CO82" i="32"/>
  <c r="CP82" i="32"/>
  <c r="CQ82" i="32"/>
  <c r="CR82" i="32"/>
  <c r="CS82" i="32"/>
  <c r="CT82" i="32"/>
  <c r="CU82" i="32"/>
  <c r="CV82" i="32"/>
  <c r="CW82" i="32"/>
  <c r="CX82" i="32"/>
  <c r="CY82" i="32"/>
  <c r="CZ82" i="32"/>
  <c r="DA82" i="32"/>
  <c r="DB82" i="32"/>
  <c r="DC82" i="32"/>
  <c r="DD82" i="32"/>
  <c r="DE82" i="32"/>
  <c r="DF82" i="32"/>
  <c r="DG82" i="32"/>
  <c r="DH82" i="32"/>
  <c r="DI82" i="32"/>
  <c r="DJ82" i="32"/>
  <c r="DK82" i="32"/>
  <c r="DL82" i="32"/>
  <c r="DM82" i="32"/>
  <c r="DN82" i="32"/>
  <c r="DO82" i="32"/>
  <c r="DP82" i="32"/>
  <c r="DQ82" i="32"/>
  <c r="DR82" i="32"/>
  <c r="DS82" i="32"/>
  <c r="DT82" i="32"/>
  <c r="DU82" i="32"/>
  <c r="DV82" i="32"/>
  <c r="DW82" i="32"/>
  <c r="DX82" i="32"/>
  <c r="DY82" i="32"/>
  <c r="DZ82" i="32"/>
  <c r="EA82" i="32"/>
  <c r="EB82" i="32"/>
  <c r="EC82" i="32"/>
  <c r="ED82" i="32"/>
  <c r="EE82" i="32"/>
  <c r="EF82" i="32"/>
  <c r="EG82" i="32"/>
  <c r="EH82" i="32"/>
  <c r="EI82" i="32"/>
  <c r="EJ82" i="32"/>
  <c r="EK82" i="32"/>
  <c r="EL82" i="32"/>
  <c r="EM82" i="32"/>
  <c r="EN82" i="32"/>
  <c r="EO82" i="32"/>
  <c r="EP82" i="32"/>
  <c r="EQ82" i="32"/>
  <c r="ER82" i="32"/>
  <c r="ES82" i="32"/>
  <c r="ET82" i="32"/>
  <c r="EU82" i="32"/>
  <c r="EV82" i="32"/>
  <c r="EW82" i="32"/>
  <c r="EX82" i="32"/>
  <c r="EY82" i="32"/>
  <c r="EZ82" i="32"/>
  <c r="FA82" i="32"/>
  <c r="FB82" i="32"/>
  <c r="FC82" i="32"/>
  <c r="FD82" i="32"/>
  <c r="FE82" i="32"/>
  <c r="FF82" i="32"/>
  <c r="FG82" i="32"/>
  <c r="FH82" i="32"/>
  <c r="FI82" i="32"/>
  <c r="FJ82" i="32"/>
  <c r="FK82" i="32"/>
  <c r="FL82" i="32"/>
  <c r="FM82" i="32"/>
  <c r="FN82" i="32"/>
  <c r="FO82" i="32"/>
  <c r="FP82" i="32"/>
  <c r="FQ82" i="32"/>
  <c r="FR82" i="32"/>
  <c r="FS82" i="32"/>
  <c r="FT82" i="32"/>
  <c r="FU82" i="32"/>
  <c r="FV82" i="32"/>
  <c r="FW82" i="32"/>
  <c r="FX82" i="32"/>
  <c r="FY82" i="32"/>
  <c r="FZ82" i="32"/>
  <c r="GA82" i="32"/>
  <c r="GB82" i="32"/>
  <c r="GC82" i="32"/>
  <c r="GD82" i="32"/>
  <c r="GE82" i="32"/>
  <c r="GF82" i="32"/>
  <c r="GG82" i="32"/>
  <c r="GH82" i="32"/>
  <c r="GI82" i="32"/>
  <c r="GJ82" i="32"/>
  <c r="GK82" i="32"/>
  <c r="GL82" i="32"/>
  <c r="GM82" i="32"/>
  <c r="GN82" i="32"/>
  <c r="GO82" i="32"/>
  <c r="GP82" i="32"/>
  <c r="GQ82" i="32"/>
  <c r="GR82" i="32"/>
  <c r="GS82" i="32"/>
  <c r="GT82" i="32"/>
  <c r="GU82" i="32"/>
  <c r="GV82" i="32"/>
  <c r="GW82" i="32"/>
  <c r="GX82" i="32"/>
  <c r="GY82" i="32"/>
  <c r="GZ82" i="32"/>
  <c r="HA82" i="32"/>
  <c r="HB82" i="32"/>
  <c r="HC82" i="32"/>
  <c r="HD82" i="32"/>
  <c r="HE82" i="32"/>
  <c r="HF82" i="32"/>
  <c r="HG82" i="32"/>
  <c r="HH82" i="32"/>
  <c r="HI82" i="32"/>
  <c r="HJ82" i="32"/>
  <c r="HK82" i="32"/>
  <c r="HL82" i="32"/>
  <c r="HM82" i="32"/>
  <c r="HN82" i="32"/>
  <c r="HO82" i="32"/>
  <c r="HP82" i="32"/>
  <c r="HQ82" i="32"/>
  <c r="HR82" i="32"/>
  <c r="HS82" i="32"/>
  <c r="HT82" i="32"/>
  <c r="HU82" i="32"/>
  <c r="HV82" i="32"/>
  <c r="HW82" i="32"/>
  <c r="HX82" i="32"/>
  <c r="HY82" i="32"/>
  <c r="HZ82" i="32"/>
  <c r="IA82" i="32"/>
  <c r="IB82" i="32"/>
  <c r="IC82" i="32"/>
  <c r="ID82" i="32"/>
  <c r="IE82" i="32"/>
  <c r="IF82" i="32"/>
  <c r="IG82" i="32"/>
  <c r="IH82" i="32"/>
  <c r="II82" i="32"/>
  <c r="IJ82" i="32"/>
  <c r="IK82" i="32"/>
  <c r="IL82" i="32"/>
  <c r="IM82" i="32"/>
  <c r="IN82" i="32"/>
  <c r="IO82" i="32"/>
  <c r="IP82" i="32"/>
  <c r="IQ82" i="32"/>
  <c r="IR82" i="32"/>
  <c r="IS82" i="32"/>
  <c r="IT82" i="32"/>
  <c r="IU82" i="32"/>
  <c r="IV82" i="32"/>
  <c r="A81" i="32"/>
  <c r="B81" i="32"/>
  <c r="C81" i="32"/>
  <c r="D81" i="32"/>
  <c r="E81" i="32"/>
  <c r="F81" i="32"/>
  <c r="G81" i="32"/>
  <c r="H81" i="32"/>
  <c r="I81" i="32"/>
  <c r="J81" i="32"/>
  <c r="K81" i="32"/>
  <c r="L81" i="32"/>
  <c r="M81" i="32"/>
  <c r="N81" i="32"/>
  <c r="O81" i="32"/>
  <c r="P81" i="32"/>
  <c r="Q81" i="32"/>
  <c r="R81" i="32"/>
  <c r="S81" i="32"/>
  <c r="T81" i="32"/>
  <c r="U81" i="32"/>
  <c r="V81" i="32"/>
  <c r="W81" i="32"/>
  <c r="X81" i="32"/>
  <c r="Y81" i="32"/>
  <c r="Z81" i="32"/>
  <c r="AA81" i="32"/>
  <c r="AB81" i="32"/>
  <c r="AC81" i="32"/>
  <c r="AD81" i="32"/>
  <c r="AE81" i="32"/>
  <c r="AF81" i="32"/>
  <c r="AG81" i="32"/>
  <c r="AH81" i="32"/>
  <c r="AI81" i="32"/>
  <c r="AJ81" i="32"/>
  <c r="AK81" i="32"/>
  <c r="AL81" i="32"/>
  <c r="AM81" i="32"/>
  <c r="AN81" i="32"/>
  <c r="AO81" i="32"/>
  <c r="AP81" i="32"/>
  <c r="AQ81" i="32"/>
  <c r="AR81" i="32"/>
  <c r="AS81" i="32"/>
  <c r="AT81" i="32"/>
  <c r="AU81" i="32"/>
  <c r="AV81" i="32"/>
  <c r="AW81" i="32"/>
  <c r="AX81" i="32"/>
  <c r="AY81" i="32"/>
  <c r="AZ81" i="32"/>
  <c r="BA81" i="32"/>
  <c r="BB81" i="32"/>
  <c r="BC81" i="32"/>
  <c r="BD81" i="32"/>
  <c r="BE81" i="32"/>
  <c r="BF81" i="32"/>
  <c r="BG81" i="32"/>
  <c r="BH81" i="32"/>
  <c r="BI81" i="32"/>
  <c r="BJ81" i="32"/>
  <c r="BK81" i="32"/>
  <c r="BL81" i="32"/>
  <c r="BM81" i="32"/>
  <c r="BN81" i="32"/>
  <c r="BO81" i="32"/>
  <c r="BP81" i="32"/>
  <c r="BQ81" i="32"/>
  <c r="BR81" i="32"/>
  <c r="BS81" i="32"/>
  <c r="BT81" i="32"/>
  <c r="BU81" i="32"/>
  <c r="BV81" i="32"/>
  <c r="BW81" i="32"/>
  <c r="BX81" i="32"/>
  <c r="BY81" i="32"/>
  <c r="BZ81" i="32"/>
  <c r="CA81" i="32"/>
  <c r="CB81" i="32"/>
  <c r="CC81" i="32"/>
  <c r="CD81" i="32"/>
  <c r="CE81" i="32"/>
  <c r="CF81" i="32"/>
  <c r="CG81" i="32"/>
  <c r="CH81" i="32"/>
  <c r="CI81" i="32"/>
  <c r="CJ81" i="32"/>
  <c r="CK81" i="32"/>
  <c r="CL81" i="32"/>
  <c r="CM81" i="32"/>
  <c r="CN81" i="32"/>
  <c r="CO81" i="32"/>
  <c r="CP81" i="32"/>
  <c r="CQ81" i="32"/>
  <c r="CR81" i="32"/>
  <c r="CS81" i="32"/>
  <c r="CT81" i="32"/>
  <c r="CU81" i="32"/>
  <c r="CV81" i="32"/>
  <c r="CW81" i="32"/>
  <c r="CX81" i="32"/>
  <c r="CY81" i="32"/>
  <c r="CZ81" i="32"/>
  <c r="DA81" i="32"/>
  <c r="DB81" i="32"/>
  <c r="DC81" i="32"/>
  <c r="DD81" i="32"/>
  <c r="DE81" i="32"/>
  <c r="DF81" i="32"/>
  <c r="DG81" i="32"/>
  <c r="DH81" i="32"/>
  <c r="DI81" i="32"/>
  <c r="DJ81" i="32"/>
  <c r="DK81" i="32"/>
  <c r="DL81" i="32"/>
  <c r="DM81" i="32"/>
  <c r="DN81" i="32"/>
  <c r="DO81" i="32"/>
  <c r="DP81" i="32"/>
  <c r="DQ81" i="32"/>
  <c r="DR81" i="32"/>
  <c r="DS81" i="32"/>
  <c r="DT81" i="32"/>
  <c r="DU81" i="32"/>
  <c r="DV81" i="32"/>
  <c r="DW81" i="32"/>
  <c r="DX81" i="32"/>
  <c r="DY81" i="32"/>
  <c r="DZ81" i="32"/>
  <c r="EA81" i="32"/>
  <c r="EB81" i="32"/>
  <c r="EC81" i="32"/>
  <c r="ED81" i="32"/>
  <c r="EE81" i="32"/>
  <c r="EF81" i="32"/>
  <c r="EG81" i="32"/>
  <c r="EH81" i="32"/>
  <c r="EI81" i="32"/>
  <c r="EJ81" i="32"/>
  <c r="EK81" i="32"/>
  <c r="EL81" i="32"/>
  <c r="EM81" i="32"/>
  <c r="EN81" i="32"/>
  <c r="EO81" i="32"/>
  <c r="EP81" i="32"/>
  <c r="EQ81" i="32"/>
  <c r="ER81" i="32"/>
  <c r="ES81" i="32"/>
  <c r="ET81" i="32"/>
  <c r="EU81" i="32"/>
  <c r="EV81" i="32"/>
  <c r="EW81" i="32"/>
  <c r="EX81" i="32"/>
  <c r="EY81" i="32"/>
  <c r="EZ81" i="32"/>
  <c r="FA81" i="32"/>
  <c r="FB81" i="32"/>
  <c r="FC81" i="32"/>
  <c r="FD81" i="32"/>
  <c r="FE81" i="32"/>
  <c r="FF81" i="32"/>
  <c r="FG81" i="32"/>
  <c r="FH81" i="32"/>
  <c r="FI81" i="32"/>
  <c r="FJ81" i="32"/>
  <c r="FK81" i="32"/>
  <c r="FL81" i="32"/>
  <c r="FM81" i="32"/>
  <c r="FN81" i="32"/>
  <c r="FO81" i="32"/>
  <c r="FP81" i="32"/>
  <c r="FQ81" i="32"/>
  <c r="FR81" i="32"/>
  <c r="FS81" i="32"/>
  <c r="FT81" i="32"/>
  <c r="FU81" i="32"/>
  <c r="FV81" i="32"/>
  <c r="FW81" i="32"/>
  <c r="FX81" i="32"/>
  <c r="FY81" i="32"/>
  <c r="FZ81" i="32"/>
  <c r="GA81" i="32"/>
  <c r="GB81" i="32"/>
  <c r="GC81" i="32"/>
  <c r="GD81" i="32"/>
  <c r="GE81" i="32"/>
  <c r="GF81" i="32"/>
  <c r="GG81" i="32"/>
  <c r="GH81" i="32"/>
  <c r="GI81" i="32"/>
  <c r="GJ81" i="32"/>
  <c r="GK81" i="32"/>
  <c r="GL81" i="32"/>
  <c r="GM81" i="32"/>
  <c r="GN81" i="32"/>
  <c r="GO81" i="32"/>
  <c r="GP81" i="32"/>
  <c r="GQ81" i="32"/>
  <c r="GR81" i="32"/>
  <c r="GS81" i="32"/>
  <c r="GT81" i="32"/>
  <c r="GU81" i="32"/>
  <c r="GV81" i="32"/>
  <c r="GW81" i="32"/>
  <c r="GX81" i="32"/>
  <c r="GY81" i="32"/>
  <c r="GZ81" i="32"/>
  <c r="HA81" i="32"/>
  <c r="HB81" i="32"/>
  <c r="HC81" i="32"/>
  <c r="HD81" i="32"/>
  <c r="HE81" i="32"/>
  <c r="HF81" i="32"/>
  <c r="HG81" i="32"/>
  <c r="HH81" i="32"/>
  <c r="HI81" i="32"/>
  <c r="HJ81" i="32"/>
  <c r="HK81" i="32"/>
  <c r="HL81" i="32"/>
  <c r="HM81" i="32"/>
  <c r="HN81" i="32"/>
  <c r="HO81" i="32"/>
  <c r="HP81" i="32"/>
  <c r="HQ81" i="32"/>
  <c r="HR81" i="32"/>
  <c r="HS81" i="32"/>
  <c r="HT81" i="32"/>
  <c r="HU81" i="32"/>
  <c r="HV81" i="32"/>
  <c r="HW81" i="32"/>
  <c r="HX81" i="32"/>
  <c r="HY81" i="32"/>
  <c r="HZ81" i="32"/>
  <c r="IA81" i="32"/>
  <c r="IB81" i="32"/>
  <c r="IC81" i="32"/>
  <c r="ID81" i="32"/>
  <c r="IE81" i="32"/>
  <c r="IF81" i="32"/>
  <c r="IG81" i="32"/>
  <c r="IH81" i="32"/>
  <c r="II81" i="32"/>
  <c r="IJ81" i="32"/>
  <c r="IK81" i="32"/>
  <c r="IL81" i="32"/>
  <c r="IM81" i="32"/>
  <c r="IN81" i="32"/>
  <c r="IO81" i="32"/>
  <c r="IP81" i="32"/>
  <c r="IQ81" i="32"/>
  <c r="IR81" i="32"/>
  <c r="IS81" i="32"/>
  <c r="IT81" i="32"/>
  <c r="IU81" i="32"/>
  <c r="IV81" i="32"/>
  <c r="A80" i="32"/>
  <c r="B80" i="32"/>
  <c r="C80" i="32"/>
  <c r="D80" i="32"/>
  <c r="E80" i="32"/>
  <c r="F80" i="32"/>
  <c r="G80" i="32"/>
  <c r="H80" i="32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80" i="32"/>
  <c r="AH80" i="32"/>
  <c r="AI80" i="32"/>
  <c r="AJ80" i="32"/>
  <c r="AK80" i="32"/>
  <c r="AL80" i="32"/>
  <c r="AM80" i="32"/>
  <c r="AN80" i="32"/>
  <c r="AO80" i="32"/>
  <c r="AP80" i="32"/>
  <c r="AQ80" i="32"/>
  <c r="AR80" i="32"/>
  <c r="AS80" i="32"/>
  <c r="AT80" i="32"/>
  <c r="AU80" i="32"/>
  <c r="AV80" i="32"/>
  <c r="AW80" i="32"/>
  <c r="AX80" i="32"/>
  <c r="AY80" i="32"/>
  <c r="AZ80" i="32"/>
  <c r="BA80" i="32"/>
  <c r="BB80" i="32"/>
  <c r="BC80" i="32"/>
  <c r="BD80" i="32"/>
  <c r="BE80" i="32"/>
  <c r="BF80" i="32"/>
  <c r="BG80" i="32"/>
  <c r="BH80" i="32"/>
  <c r="BI80" i="32"/>
  <c r="BJ80" i="32"/>
  <c r="BK80" i="32"/>
  <c r="BL80" i="32"/>
  <c r="BM80" i="32"/>
  <c r="BN80" i="32"/>
  <c r="BO80" i="32"/>
  <c r="BP80" i="32"/>
  <c r="BQ80" i="32"/>
  <c r="BR80" i="32"/>
  <c r="BS80" i="32"/>
  <c r="BT80" i="32"/>
  <c r="BU80" i="32"/>
  <c r="BV80" i="32"/>
  <c r="BW80" i="32"/>
  <c r="BX80" i="32"/>
  <c r="BY80" i="32"/>
  <c r="BZ80" i="32"/>
  <c r="CA80" i="32"/>
  <c r="CB80" i="32"/>
  <c r="CC80" i="32"/>
  <c r="CD80" i="32"/>
  <c r="CE80" i="32"/>
  <c r="CF80" i="32"/>
  <c r="CG80" i="32"/>
  <c r="CH80" i="32"/>
  <c r="CI80" i="32"/>
  <c r="CJ80" i="32"/>
  <c r="CK80" i="32"/>
  <c r="CL80" i="32"/>
  <c r="CM80" i="32"/>
  <c r="CN80" i="32"/>
  <c r="CO80" i="32"/>
  <c r="CP80" i="32"/>
  <c r="CQ80" i="32"/>
  <c r="CR80" i="32"/>
  <c r="CS80" i="32"/>
  <c r="CT80" i="32"/>
  <c r="CU80" i="32"/>
  <c r="CV80" i="32"/>
  <c r="CW80" i="32"/>
  <c r="CX80" i="32"/>
  <c r="CY80" i="32"/>
  <c r="CZ80" i="32"/>
  <c r="DA80" i="32"/>
  <c r="DB80" i="32"/>
  <c r="DC80" i="32"/>
  <c r="DD80" i="32"/>
  <c r="DE80" i="32"/>
  <c r="DF80" i="32"/>
  <c r="DG80" i="32"/>
  <c r="DH80" i="32"/>
  <c r="DI80" i="32"/>
  <c r="DJ80" i="32"/>
  <c r="DK80" i="32"/>
  <c r="DL80" i="32"/>
  <c r="DM80" i="32"/>
  <c r="DN80" i="32"/>
  <c r="DO80" i="32"/>
  <c r="DP80" i="32"/>
  <c r="DQ80" i="32"/>
  <c r="DR80" i="32"/>
  <c r="DS80" i="32"/>
  <c r="DT80" i="32"/>
  <c r="DU80" i="32"/>
  <c r="DV80" i="32"/>
  <c r="DW80" i="32"/>
  <c r="DX80" i="32"/>
  <c r="DY80" i="32"/>
  <c r="DZ80" i="32"/>
  <c r="EA80" i="32"/>
  <c r="EB80" i="32"/>
  <c r="EC80" i="32"/>
  <c r="ED80" i="32"/>
  <c r="EE80" i="32"/>
  <c r="EF80" i="32"/>
  <c r="EG80" i="32"/>
  <c r="EH80" i="32"/>
  <c r="EI80" i="32"/>
  <c r="EJ80" i="32"/>
  <c r="EK80" i="32"/>
  <c r="EL80" i="32"/>
  <c r="EM80" i="32"/>
  <c r="EN80" i="32"/>
  <c r="EO80" i="32"/>
  <c r="EP80" i="32"/>
  <c r="EQ80" i="32"/>
  <c r="ER80" i="32"/>
  <c r="ES80" i="32"/>
  <c r="ET80" i="32"/>
  <c r="EU80" i="32"/>
  <c r="EV80" i="32"/>
  <c r="EW80" i="32"/>
  <c r="EX80" i="32"/>
  <c r="EY80" i="32"/>
  <c r="EZ80" i="32"/>
  <c r="FA80" i="32"/>
  <c r="FB80" i="32"/>
  <c r="FC80" i="32"/>
  <c r="FD80" i="32"/>
  <c r="FE80" i="32"/>
  <c r="FF80" i="32"/>
  <c r="FG80" i="32"/>
  <c r="FH80" i="32"/>
  <c r="FI80" i="32"/>
  <c r="FJ80" i="32"/>
  <c r="FK80" i="32"/>
  <c r="FL80" i="32"/>
  <c r="FM80" i="32"/>
  <c r="FN80" i="32"/>
  <c r="FO80" i="32"/>
  <c r="FP80" i="32"/>
  <c r="FQ80" i="32"/>
  <c r="FR80" i="32"/>
  <c r="FS80" i="32"/>
  <c r="FT80" i="32"/>
  <c r="FU80" i="32"/>
  <c r="FV80" i="32"/>
  <c r="FW80" i="32"/>
  <c r="FX80" i="32"/>
  <c r="FY80" i="32"/>
  <c r="FZ80" i="32"/>
  <c r="GA80" i="32"/>
  <c r="GB80" i="32"/>
  <c r="GC80" i="32"/>
  <c r="GD80" i="32"/>
  <c r="GE80" i="32"/>
  <c r="GF80" i="32"/>
  <c r="GG80" i="32"/>
  <c r="GH80" i="32"/>
  <c r="GI80" i="32"/>
  <c r="GJ80" i="32"/>
  <c r="GK80" i="32"/>
  <c r="GL80" i="32"/>
  <c r="GM80" i="32"/>
  <c r="GN80" i="32"/>
  <c r="GO80" i="32"/>
  <c r="GP80" i="32"/>
  <c r="GQ80" i="32"/>
  <c r="GR80" i="32"/>
  <c r="GS80" i="32"/>
  <c r="GT80" i="32"/>
  <c r="GU80" i="32"/>
  <c r="GV80" i="32"/>
  <c r="GW80" i="32"/>
  <c r="GX80" i="32"/>
  <c r="GY80" i="32"/>
  <c r="GZ80" i="32"/>
  <c r="HA80" i="32"/>
  <c r="HB80" i="32"/>
  <c r="HC80" i="32"/>
  <c r="HD80" i="32"/>
  <c r="HE80" i="32"/>
  <c r="HF80" i="32"/>
  <c r="HG80" i="32"/>
  <c r="HH80" i="32"/>
  <c r="HI80" i="32"/>
  <c r="HJ80" i="32"/>
  <c r="HK80" i="32"/>
  <c r="HL80" i="32"/>
  <c r="HM80" i="32"/>
  <c r="HN80" i="32"/>
  <c r="HO80" i="32"/>
  <c r="HP80" i="32"/>
  <c r="HQ80" i="32"/>
  <c r="HR80" i="32"/>
  <c r="HS80" i="32"/>
  <c r="HT80" i="32"/>
  <c r="HU80" i="32"/>
  <c r="HV80" i="32"/>
  <c r="HW80" i="32"/>
  <c r="HX80" i="32"/>
  <c r="HY80" i="32"/>
  <c r="HZ80" i="32"/>
  <c r="IA80" i="32"/>
  <c r="IB80" i="32"/>
  <c r="IC80" i="32"/>
  <c r="ID80" i="32"/>
  <c r="IE80" i="32"/>
  <c r="IF80" i="32"/>
  <c r="IG80" i="32"/>
  <c r="IH80" i="32"/>
  <c r="II80" i="32"/>
  <c r="IJ80" i="32"/>
  <c r="IK80" i="32"/>
  <c r="IL80" i="32"/>
  <c r="IM80" i="32"/>
  <c r="IN80" i="32"/>
  <c r="IO80" i="32"/>
  <c r="IP80" i="32"/>
  <c r="IQ80" i="32"/>
  <c r="IR80" i="32"/>
  <c r="IS80" i="32"/>
  <c r="IT80" i="32"/>
  <c r="IU80" i="32"/>
  <c r="IV80" i="32"/>
  <c r="A79" i="32"/>
  <c r="B79" i="32"/>
  <c r="C79" i="32"/>
  <c r="D79" i="32"/>
  <c r="E79" i="32"/>
  <c r="F79" i="32"/>
  <c r="G79" i="32"/>
  <c r="H79" i="32"/>
  <c r="I79" i="32"/>
  <c r="J79" i="32"/>
  <c r="K79" i="32"/>
  <c r="L79" i="32"/>
  <c r="M79" i="32"/>
  <c r="N79" i="32"/>
  <c r="O79" i="32"/>
  <c r="P79" i="32"/>
  <c r="Q79" i="32"/>
  <c r="R79" i="32"/>
  <c r="S79" i="32"/>
  <c r="T79" i="32"/>
  <c r="U79" i="32"/>
  <c r="V79" i="32"/>
  <c r="W79" i="32"/>
  <c r="X79" i="32"/>
  <c r="Y79" i="32"/>
  <c r="Z79" i="32"/>
  <c r="AA79" i="32"/>
  <c r="AB79" i="32"/>
  <c r="AC79" i="32"/>
  <c r="AD79" i="32"/>
  <c r="AE79" i="32"/>
  <c r="AF79" i="32"/>
  <c r="AG79" i="32"/>
  <c r="AH79" i="32"/>
  <c r="AI79" i="32"/>
  <c r="AJ79" i="32"/>
  <c r="AK79" i="32"/>
  <c r="AL79" i="32"/>
  <c r="AM79" i="32"/>
  <c r="AN79" i="32"/>
  <c r="AO79" i="32"/>
  <c r="AP79" i="32"/>
  <c r="AQ79" i="32"/>
  <c r="AR79" i="32"/>
  <c r="AS79" i="32"/>
  <c r="AT79" i="32"/>
  <c r="AU79" i="32"/>
  <c r="AV79" i="32"/>
  <c r="AW79" i="32"/>
  <c r="AX79" i="32"/>
  <c r="AY79" i="32"/>
  <c r="AZ79" i="32"/>
  <c r="BA79" i="32"/>
  <c r="BB79" i="32"/>
  <c r="BC79" i="32"/>
  <c r="BD79" i="32"/>
  <c r="BE79" i="32"/>
  <c r="BF79" i="32"/>
  <c r="BG79" i="32"/>
  <c r="BH79" i="32"/>
  <c r="BI79" i="32"/>
  <c r="BJ79" i="32"/>
  <c r="BK79" i="32"/>
  <c r="BL79" i="32"/>
  <c r="BM79" i="32"/>
  <c r="BN79" i="32"/>
  <c r="BO79" i="32"/>
  <c r="BP79" i="32"/>
  <c r="BQ79" i="32"/>
  <c r="BR79" i="32"/>
  <c r="BS79" i="32"/>
  <c r="BT79" i="32"/>
  <c r="BU79" i="32"/>
  <c r="BV79" i="32"/>
  <c r="BW79" i="32"/>
  <c r="BX79" i="32"/>
  <c r="BY79" i="32"/>
  <c r="BZ79" i="32"/>
  <c r="CA79" i="32"/>
  <c r="CB79" i="32"/>
  <c r="CC79" i="32"/>
  <c r="CD79" i="32"/>
  <c r="CE79" i="32"/>
  <c r="CF79" i="32"/>
  <c r="CG79" i="32"/>
  <c r="CH79" i="32"/>
  <c r="CI79" i="32"/>
  <c r="CJ79" i="32"/>
  <c r="CK79" i="32"/>
  <c r="CL79" i="32"/>
  <c r="CM79" i="32"/>
  <c r="CN79" i="32"/>
  <c r="CO79" i="32"/>
  <c r="CP79" i="32"/>
  <c r="CQ79" i="32"/>
  <c r="CR79" i="32"/>
  <c r="CS79" i="32"/>
  <c r="CT79" i="32"/>
  <c r="CU79" i="32"/>
  <c r="CV79" i="32"/>
  <c r="CW79" i="32"/>
  <c r="CX79" i="32"/>
  <c r="CY79" i="32"/>
  <c r="CZ79" i="32"/>
  <c r="DA79" i="32"/>
  <c r="DB79" i="32"/>
  <c r="DC79" i="32"/>
  <c r="DD79" i="32"/>
  <c r="DE79" i="32"/>
  <c r="DF79" i="32"/>
  <c r="DG79" i="32"/>
  <c r="DH79" i="32"/>
  <c r="DI79" i="32"/>
  <c r="DJ79" i="32"/>
  <c r="DK79" i="32"/>
  <c r="DL79" i="32"/>
  <c r="DM79" i="32"/>
  <c r="DN79" i="32"/>
  <c r="DO79" i="32"/>
  <c r="DP79" i="32"/>
  <c r="DQ79" i="32"/>
  <c r="DR79" i="32"/>
  <c r="DS79" i="32"/>
  <c r="DT79" i="32"/>
  <c r="DU79" i="32"/>
  <c r="DV79" i="32"/>
  <c r="DW79" i="32"/>
  <c r="DX79" i="32"/>
  <c r="DY79" i="32"/>
  <c r="DZ79" i="32"/>
  <c r="EA79" i="32"/>
  <c r="EB79" i="32"/>
  <c r="EC79" i="32"/>
  <c r="ED79" i="32"/>
  <c r="EE79" i="32"/>
  <c r="EF79" i="32"/>
  <c r="EG79" i="32"/>
  <c r="EH79" i="32"/>
  <c r="EI79" i="32"/>
  <c r="EJ79" i="32"/>
  <c r="EK79" i="32"/>
  <c r="EL79" i="32"/>
  <c r="EM79" i="32"/>
  <c r="EN79" i="32"/>
  <c r="EO79" i="32"/>
  <c r="EP79" i="32"/>
  <c r="EQ79" i="32"/>
  <c r="ER79" i="32"/>
  <c r="ES79" i="32"/>
  <c r="ET79" i="32"/>
  <c r="EU79" i="32"/>
  <c r="EV79" i="32"/>
  <c r="EW79" i="32"/>
  <c r="EX79" i="32"/>
  <c r="EY79" i="32"/>
  <c r="EZ79" i="32"/>
  <c r="FA79" i="32"/>
  <c r="FB79" i="32"/>
  <c r="FC79" i="32"/>
  <c r="FD79" i="32"/>
  <c r="FE79" i="32"/>
  <c r="FF79" i="32"/>
  <c r="FG79" i="32"/>
  <c r="FH79" i="32"/>
  <c r="FI79" i="32"/>
  <c r="FJ79" i="32"/>
  <c r="FK79" i="32"/>
  <c r="FL79" i="32"/>
  <c r="FM79" i="32"/>
  <c r="FN79" i="32"/>
  <c r="FO79" i="32"/>
  <c r="FP79" i="32"/>
  <c r="FQ79" i="32"/>
  <c r="FR79" i="32"/>
  <c r="FS79" i="32"/>
  <c r="FT79" i="32"/>
  <c r="FU79" i="32"/>
  <c r="FV79" i="32"/>
  <c r="FW79" i="32"/>
  <c r="FX79" i="32"/>
  <c r="FY79" i="32"/>
  <c r="FZ79" i="32"/>
  <c r="GA79" i="32"/>
  <c r="GB79" i="32"/>
  <c r="GC79" i="32"/>
  <c r="GD79" i="32"/>
  <c r="GE79" i="32"/>
  <c r="GF79" i="32"/>
  <c r="GG79" i="32"/>
  <c r="GH79" i="32"/>
  <c r="GI79" i="32"/>
  <c r="GJ79" i="32"/>
  <c r="GK79" i="32"/>
  <c r="GL79" i="32"/>
  <c r="GM79" i="32"/>
  <c r="GN79" i="32"/>
  <c r="GO79" i="32"/>
  <c r="GP79" i="32"/>
  <c r="GQ79" i="32"/>
  <c r="GR79" i="32"/>
  <c r="GS79" i="32"/>
  <c r="GT79" i="32"/>
  <c r="GU79" i="32"/>
  <c r="GV79" i="32"/>
  <c r="GW79" i="32"/>
  <c r="GX79" i="32"/>
  <c r="GY79" i="32"/>
  <c r="GZ79" i="32"/>
  <c r="HA79" i="32"/>
  <c r="HB79" i="32"/>
  <c r="HC79" i="32"/>
  <c r="HD79" i="32"/>
  <c r="HE79" i="32"/>
  <c r="HF79" i="32"/>
  <c r="HG79" i="32"/>
  <c r="HH79" i="32"/>
  <c r="HI79" i="32"/>
  <c r="HJ79" i="32"/>
  <c r="HK79" i="32"/>
  <c r="HL79" i="32"/>
  <c r="HM79" i="32"/>
  <c r="HN79" i="32"/>
  <c r="HO79" i="32"/>
  <c r="HP79" i="32"/>
  <c r="HQ79" i="32"/>
  <c r="HR79" i="32"/>
  <c r="HS79" i="32"/>
  <c r="HT79" i="32"/>
  <c r="HU79" i="32"/>
  <c r="HV79" i="32"/>
  <c r="HW79" i="32"/>
  <c r="HX79" i="32"/>
  <c r="HY79" i="32"/>
  <c r="HZ79" i="32"/>
  <c r="IA79" i="32"/>
  <c r="IB79" i="32"/>
  <c r="IC79" i="32"/>
  <c r="ID79" i="32"/>
  <c r="IE79" i="32"/>
  <c r="IF79" i="32"/>
  <c r="IG79" i="32"/>
  <c r="IH79" i="32"/>
  <c r="II79" i="32"/>
  <c r="IJ79" i="32"/>
  <c r="IK79" i="32"/>
  <c r="IL79" i="32"/>
  <c r="IM79" i="32"/>
  <c r="IN79" i="32"/>
  <c r="IO79" i="32"/>
  <c r="IP79" i="32"/>
  <c r="IQ79" i="32"/>
  <c r="IR79" i="32"/>
  <c r="IS79" i="32"/>
  <c r="IT79" i="32"/>
  <c r="IU79" i="32"/>
  <c r="IV79" i="32"/>
  <c r="A78" i="32"/>
  <c r="B78" i="32"/>
  <c r="C78" i="32"/>
  <c r="D78" i="32"/>
  <c r="E78" i="32"/>
  <c r="F78" i="32"/>
  <c r="G78" i="32"/>
  <c r="H78" i="32"/>
  <c r="I78" i="32"/>
  <c r="J78" i="32"/>
  <c r="K78" i="32"/>
  <c r="L78" i="32"/>
  <c r="M78" i="32"/>
  <c r="N78" i="32"/>
  <c r="O78" i="32"/>
  <c r="P78" i="32"/>
  <c r="Q78" i="32"/>
  <c r="R78" i="32"/>
  <c r="S78" i="32"/>
  <c r="T78" i="32"/>
  <c r="U78" i="32"/>
  <c r="V78" i="32"/>
  <c r="W78" i="32"/>
  <c r="X78" i="32"/>
  <c r="Y78" i="32"/>
  <c r="Z78" i="32"/>
  <c r="AA78" i="32"/>
  <c r="AB78" i="32"/>
  <c r="AC78" i="32"/>
  <c r="AD78" i="32"/>
  <c r="AE78" i="32"/>
  <c r="AF78" i="32"/>
  <c r="AG78" i="32"/>
  <c r="AH78" i="32"/>
  <c r="AI78" i="32"/>
  <c r="AJ78" i="32"/>
  <c r="AK78" i="32"/>
  <c r="AL78" i="32"/>
  <c r="AM78" i="32"/>
  <c r="AN78" i="32"/>
  <c r="AO78" i="32"/>
  <c r="AP78" i="32"/>
  <c r="AQ78" i="32"/>
  <c r="AR78" i="32"/>
  <c r="AS78" i="32"/>
  <c r="AT78" i="32"/>
  <c r="AU78" i="32"/>
  <c r="AV78" i="32"/>
  <c r="AW78" i="32"/>
  <c r="AX78" i="32"/>
  <c r="AY78" i="32"/>
  <c r="AZ78" i="32"/>
  <c r="BA78" i="32"/>
  <c r="BB78" i="32"/>
  <c r="BC78" i="32"/>
  <c r="BD78" i="32"/>
  <c r="BE78" i="32"/>
  <c r="BF78" i="32"/>
  <c r="BG78" i="32"/>
  <c r="BH78" i="32"/>
  <c r="BI78" i="32"/>
  <c r="BJ78" i="32"/>
  <c r="BK78" i="32"/>
  <c r="BL78" i="32"/>
  <c r="BM78" i="32"/>
  <c r="BN78" i="32"/>
  <c r="BO78" i="32"/>
  <c r="BP78" i="32"/>
  <c r="BQ78" i="32"/>
  <c r="BR78" i="32"/>
  <c r="BS78" i="32"/>
  <c r="BT78" i="32"/>
  <c r="BU78" i="32"/>
  <c r="BV78" i="32"/>
  <c r="BW78" i="32"/>
  <c r="BX78" i="32"/>
  <c r="BY78" i="32"/>
  <c r="BZ78" i="32"/>
  <c r="CA78" i="32"/>
  <c r="CB78" i="32"/>
  <c r="CC78" i="32"/>
  <c r="CD78" i="32"/>
  <c r="CE78" i="32"/>
  <c r="CF78" i="32"/>
  <c r="CG78" i="32"/>
  <c r="CH78" i="32"/>
  <c r="CI78" i="32"/>
  <c r="CJ78" i="32"/>
  <c r="CK78" i="32"/>
  <c r="CL78" i="32"/>
  <c r="CM78" i="32"/>
  <c r="CN78" i="32"/>
  <c r="CO78" i="32"/>
  <c r="CP78" i="32"/>
  <c r="CQ78" i="32"/>
  <c r="CR78" i="32"/>
  <c r="CS78" i="32"/>
  <c r="CT78" i="32"/>
  <c r="CU78" i="32"/>
  <c r="CV78" i="32"/>
  <c r="CW78" i="32"/>
  <c r="CX78" i="32"/>
  <c r="CY78" i="32"/>
  <c r="CZ78" i="32"/>
  <c r="DA78" i="32"/>
  <c r="DB78" i="32"/>
  <c r="DC78" i="32"/>
  <c r="DD78" i="32"/>
  <c r="DE78" i="32"/>
  <c r="DF78" i="32"/>
  <c r="DG78" i="32"/>
  <c r="DH78" i="32"/>
  <c r="DI78" i="32"/>
  <c r="DJ78" i="32"/>
  <c r="DK78" i="32"/>
  <c r="DL78" i="32"/>
  <c r="DM78" i="32"/>
  <c r="DN78" i="32"/>
  <c r="DO78" i="32"/>
  <c r="DP78" i="32"/>
  <c r="DQ78" i="32"/>
  <c r="DR78" i="32"/>
  <c r="DS78" i="32"/>
  <c r="DT78" i="32"/>
  <c r="DU78" i="32"/>
  <c r="DV78" i="32"/>
  <c r="DW78" i="32"/>
  <c r="DX78" i="32"/>
  <c r="DY78" i="32"/>
  <c r="DZ78" i="32"/>
  <c r="EA78" i="32"/>
  <c r="EB78" i="32"/>
  <c r="EC78" i="32"/>
  <c r="ED78" i="32"/>
  <c r="EE78" i="32"/>
  <c r="EF78" i="32"/>
  <c r="EG78" i="32"/>
  <c r="EH78" i="32"/>
  <c r="EI78" i="32"/>
  <c r="EJ78" i="32"/>
  <c r="EK78" i="32"/>
  <c r="EL78" i="32"/>
  <c r="EM78" i="32"/>
  <c r="EN78" i="32"/>
  <c r="EO78" i="32"/>
  <c r="EP78" i="32"/>
  <c r="EQ78" i="32"/>
  <c r="ER78" i="32"/>
  <c r="ES78" i="32"/>
  <c r="ET78" i="32"/>
  <c r="EU78" i="32"/>
  <c r="EV78" i="32"/>
  <c r="EW78" i="32"/>
  <c r="EX78" i="32"/>
  <c r="EY78" i="32"/>
  <c r="EZ78" i="32"/>
  <c r="FA78" i="32"/>
  <c r="FB78" i="32"/>
  <c r="FC78" i="32"/>
  <c r="FD78" i="32"/>
  <c r="FE78" i="32"/>
  <c r="FF78" i="32"/>
  <c r="FG78" i="32"/>
  <c r="FH78" i="32"/>
  <c r="FI78" i="32"/>
  <c r="FJ78" i="32"/>
  <c r="FK78" i="32"/>
  <c r="FL78" i="32"/>
  <c r="FM78" i="32"/>
  <c r="FN78" i="32"/>
  <c r="FO78" i="32"/>
  <c r="FP78" i="32"/>
  <c r="FQ78" i="32"/>
  <c r="FR78" i="32"/>
  <c r="FS78" i="32"/>
  <c r="FT78" i="32"/>
  <c r="FU78" i="32"/>
  <c r="FV78" i="32"/>
  <c r="FW78" i="32"/>
  <c r="FX78" i="32"/>
  <c r="FY78" i="32"/>
  <c r="FZ78" i="32"/>
  <c r="GA78" i="32"/>
  <c r="GB78" i="32"/>
  <c r="GC78" i="32"/>
  <c r="GD78" i="32"/>
  <c r="GE78" i="32"/>
  <c r="GF78" i="32"/>
  <c r="GG78" i="32"/>
  <c r="GH78" i="32"/>
  <c r="GI78" i="32"/>
  <c r="GJ78" i="32"/>
  <c r="GK78" i="32"/>
  <c r="GL78" i="32"/>
  <c r="GM78" i="32"/>
  <c r="GN78" i="32"/>
  <c r="GO78" i="32"/>
  <c r="GP78" i="32"/>
  <c r="GQ78" i="32"/>
  <c r="GR78" i="32"/>
  <c r="GS78" i="32"/>
  <c r="GT78" i="32"/>
  <c r="GU78" i="32"/>
  <c r="GV78" i="32"/>
  <c r="GW78" i="32"/>
  <c r="GX78" i="32"/>
  <c r="GY78" i="32"/>
  <c r="GZ78" i="32"/>
  <c r="HA78" i="32"/>
  <c r="HB78" i="32"/>
  <c r="HC78" i="32"/>
  <c r="HD78" i="32"/>
  <c r="HE78" i="32"/>
  <c r="HF78" i="32"/>
  <c r="HG78" i="32"/>
  <c r="HH78" i="32"/>
  <c r="HI78" i="32"/>
  <c r="HJ78" i="32"/>
  <c r="HK78" i="32"/>
  <c r="HL78" i="32"/>
  <c r="HM78" i="32"/>
  <c r="HN78" i="32"/>
  <c r="HO78" i="32"/>
  <c r="HP78" i="32"/>
  <c r="HQ78" i="32"/>
  <c r="HR78" i="32"/>
  <c r="HS78" i="32"/>
  <c r="HT78" i="32"/>
  <c r="HU78" i="32"/>
  <c r="HV78" i="32"/>
  <c r="HW78" i="32"/>
  <c r="HX78" i="32"/>
  <c r="HY78" i="32"/>
  <c r="HZ78" i="32"/>
  <c r="IA78" i="32"/>
  <c r="IB78" i="32"/>
  <c r="IC78" i="32"/>
  <c r="ID78" i="32"/>
  <c r="IE78" i="32"/>
  <c r="IF78" i="32"/>
  <c r="IG78" i="32"/>
  <c r="IH78" i="32"/>
  <c r="II78" i="32"/>
  <c r="IJ78" i="32"/>
  <c r="IK78" i="32"/>
  <c r="IL78" i="32"/>
  <c r="IM78" i="32"/>
  <c r="IN78" i="32"/>
  <c r="IO78" i="32"/>
  <c r="IP78" i="32"/>
  <c r="IQ78" i="32"/>
  <c r="IR78" i="32"/>
  <c r="IS78" i="32"/>
  <c r="IT78" i="32"/>
  <c r="IU78" i="32"/>
  <c r="IV78" i="32"/>
  <c r="A77" i="32"/>
  <c r="B77" i="32"/>
  <c r="C77" i="32"/>
  <c r="D77" i="32"/>
  <c r="E77" i="32"/>
  <c r="F77" i="32"/>
  <c r="G77" i="32"/>
  <c r="H77" i="32"/>
  <c r="I77" i="32"/>
  <c r="J77" i="32"/>
  <c r="K77" i="32"/>
  <c r="L77" i="32"/>
  <c r="M77" i="32"/>
  <c r="N77" i="32"/>
  <c r="O77" i="32"/>
  <c r="P77" i="32"/>
  <c r="Q77" i="32"/>
  <c r="R77" i="32"/>
  <c r="S77" i="32"/>
  <c r="T77" i="32"/>
  <c r="U77" i="32"/>
  <c r="V77" i="32"/>
  <c r="W77" i="32"/>
  <c r="X77" i="32"/>
  <c r="Y77" i="32"/>
  <c r="Z77" i="32"/>
  <c r="AA77" i="32"/>
  <c r="AB77" i="32"/>
  <c r="AC77" i="32"/>
  <c r="AD77" i="32"/>
  <c r="AE77" i="32"/>
  <c r="AF77" i="32"/>
  <c r="AG77" i="32"/>
  <c r="AH77" i="32"/>
  <c r="AI77" i="32"/>
  <c r="AJ77" i="32"/>
  <c r="AK77" i="32"/>
  <c r="AL77" i="32"/>
  <c r="AM77" i="32"/>
  <c r="AN77" i="32"/>
  <c r="AO77" i="32"/>
  <c r="AP77" i="32"/>
  <c r="AQ77" i="32"/>
  <c r="AR77" i="32"/>
  <c r="AS77" i="32"/>
  <c r="AT77" i="32"/>
  <c r="AU77" i="32"/>
  <c r="AV77" i="32"/>
  <c r="AW77" i="32"/>
  <c r="AX77" i="32"/>
  <c r="AY77" i="32"/>
  <c r="AZ77" i="32"/>
  <c r="BA77" i="32"/>
  <c r="BB77" i="32"/>
  <c r="BC77" i="32"/>
  <c r="BD77" i="32"/>
  <c r="BE77" i="32"/>
  <c r="BF77" i="32"/>
  <c r="BG77" i="32"/>
  <c r="BH77" i="32"/>
  <c r="BI77" i="32"/>
  <c r="BJ77" i="32"/>
  <c r="BK77" i="32"/>
  <c r="BL77" i="32"/>
  <c r="BM77" i="32"/>
  <c r="BN77" i="32"/>
  <c r="BO77" i="32"/>
  <c r="BP77" i="32"/>
  <c r="BQ77" i="32"/>
  <c r="BR77" i="32"/>
  <c r="BS77" i="32"/>
  <c r="BT77" i="32"/>
  <c r="BU77" i="32"/>
  <c r="BV77" i="32"/>
  <c r="BW77" i="32"/>
  <c r="BX77" i="32"/>
  <c r="BY77" i="32"/>
  <c r="BZ77" i="32"/>
  <c r="CA77" i="32"/>
  <c r="CB77" i="32"/>
  <c r="CC77" i="32"/>
  <c r="CD77" i="32"/>
  <c r="CE77" i="32"/>
  <c r="CF77" i="32"/>
  <c r="CG77" i="32"/>
  <c r="CH77" i="32"/>
  <c r="CI77" i="32"/>
  <c r="CJ77" i="32"/>
  <c r="CK77" i="32"/>
  <c r="CL77" i="32"/>
  <c r="CM77" i="32"/>
  <c r="CN77" i="32"/>
  <c r="CO77" i="32"/>
  <c r="CP77" i="32"/>
  <c r="CQ77" i="32"/>
  <c r="CR77" i="32"/>
  <c r="CS77" i="32"/>
  <c r="CT77" i="32"/>
  <c r="CU77" i="32"/>
  <c r="CV77" i="32"/>
  <c r="CW77" i="32"/>
  <c r="CX77" i="32"/>
  <c r="CY77" i="32"/>
  <c r="CZ77" i="32"/>
  <c r="DA77" i="32"/>
  <c r="DB77" i="32"/>
  <c r="DC77" i="32"/>
  <c r="DD77" i="32"/>
  <c r="DE77" i="32"/>
  <c r="DF77" i="32"/>
  <c r="DG77" i="32"/>
  <c r="DH77" i="32"/>
  <c r="DI77" i="32"/>
  <c r="DJ77" i="32"/>
  <c r="DK77" i="32"/>
  <c r="DL77" i="32"/>
  <c r="DM77" i="32"/>
  <c r="DN77" i="32"/>
  <c r="DO77" i="32"/>
  <c r="DP77" i="32"/>
  <c r="DQ77" i="32"/>
  <c r="DR77" i="32"/>
  <c r="DS77" i="32"/>
  <c r="DT77" i="32"/>
  <c r="DU77" i="32"/>
  <c r="DV77" i="32"/>
  <c r="DW77" i="32"/>
  <c r="DX77" i="32"/>
  <c r="DY77" i="32"/>
  <c r="DZ77" i="32"/>
  <c r="EA77" i="32"/>
  <c r="EB77" i="32"/>
  <c r="EC77" i="32"/>
  <c r="ED77" i="32"/>
  <c r="EE77" i="32"/>
  <c r="EF77" i="32"/>
  <c r="EG77" i="32"/>
  <c r="EH77" i="32"/>
  <c r="EI77" i="32"/>
  <c r="EJ77" i="32"/>
  <c r="EK77" i="32"/>
  <c r="EL77" i="32"/>
  <c r="EM77" i="32"/>
  <c r="EN77" i="32"/>
  <c r="EO77" i="32"/>
  <c r="EP77" i="32"/>
  <c r="EQ77" i="32"/>
  <c r="ER77" i="32"/>
  <c r="ES77" i="32"/>
  <c r="ET77" i="32"/>
  <c r="EU77" i="32"/>
  <c r="EV77" i="32"/>
  <c r="EW77" i="32"/>
  <c r="EX77" i="32"/>
  <c r="EY77" i="32"/>
  <c r="EZ77" i="32"/>
  <c r="FA77" i="32"/>
  <c r="FB77" i="32"/>
  <c r="FC77" i="32"/>
  <c r="FD77" i="32"/>
  <c r="FE77" i="32"/>
  <c r="FF77" i="32"/>
  <c r="FG77" i="32"/>
  <c r="FH77" i="32"/>
  <c r="FI77" i="32"/>
  <c r="FJ77" i="32"/>
  <c r="FK77" i="32"/>
  <c r="FL77" i="32"/>
  <c r="FM77" i="32"/>
  <c r="FN77" i="32"/>
  <c r="FO77" i="32"/>
  <c r="FP77" i="32"/>
  <c r="FQ77" i="32"/>
  <c r="FR77" i="32"/>
  <c r="FS77" i="32"/>
  <c r="FT77" i="32"/>
  <c r="FU77" i="32"/>
  <c r="FV77" i="32"/>
  <c r="FW77" i="32"/>
  <c r="FX77" i="32"/>
  <c r="FY77" i="32"/>
  <c r="FZ77" i="32"/>
  <c r="GA77" i="32"/>
  <c r="GB77" i="32"/>
  <c r="GC77" i="32"/>
  <c r="GD77" i="32"/>
  <c r="GE77" i="32"/>
  <c r="GF77" i="32"/>
  <c r="GG77" i="32"/>
  <c r="GH77" i="32"/>
  <c r="GI77" i="32"/>
  <c r="GJ77" i="32"/>
  <c r="GK77" i="32"/>
  <c r="GL77" i="32"/>
  <c r="GM77" i="32"/>
  <c r="GN77" i="32"/>
  <c r="GO77" i="32"/>
  <c r="GP77" i="32"/>
  <c r="GQ77" i="32"/>
  <c r="GR77" i="32"/>
  <c r="GS77" i="32"/>
  <c r="GT77" i="32"/>
  <c r="GU77" i="32"/>
  <c r="GV77" i="32"/>
  <c r="GW77" i="32"/>
  <c r="GX77" i="32"/>
  <c r="GY77" i="32"/>
  <c r="GZ77" i="32"/>
  <c r="HA77" i="32"/>
  <c r="HB77" i="32"/>
  <c r="HC77" i="32"/>
  <c r="HD77" i="32"/>
  <c r="HE77" i="32"/>
  <c r="HF77" i="32"/>
  <c r="HG77" i="32"/>
  <c r="HH77" i="32"/>
  <c r="HI77" i="32"/>
  <c r="HJ77" i="32"/>
  <c r="HK77" i="32"/>
  <c r="HL77" i="32"/>
  <c r="HM77" i="32"/>
  <c r="HN77" i="32"/>
  <c r="HO77" i="32"/>
  <c r="HP77" i="32"/>
  <c r="HQ77" i="32"/>
  <c r="HR77" i="32"/>
  <c r="HS77" i="32"/>
  <c r="HT77" i="32"/>
  <c r="HU77" i="32"/>
  <c r="HV77" i="32"/>
  <c r="HW77" i="32"/>
  <c r="HX77" i="32"/>
  <c r="HY77" i="32"/>
  <c r="HZ77" i="32"/>
  <c r="IA77" i="32"/>
  <c r="IB77" i="32"/>
  <c r="IC77" i="32"/>
  <c r="ID77" i="32"/>
  <c r="IE77" i="32"/>
  <c r="IF77" i="32"/>
  <c r="IG77" i="32"/>
  <c r="IH77" i="32"/>
  <c r="II77" i="32"/>
  <c r="IJ77" i="32"/>
  <c r="IK77" i="32"/>
  <c r="IL77" i="32"/>
  <c r="IM77" i="32"/>
  <c r="IN77" i="32"/>
  <c r="IO77" i="32"/>
  <c r="IP77" i="32"/>
  <c r="IQ77" i="32"/>
  <c r="IR77" i="32"/>
  <c r="IS77" i="32"/>
  <c r="IT77" i="32"/>
  <c r="IU77" i="32"/>
  <c r="IV77" i="32"/>
  <c r="A76" i="32"/>
  <c r="B76" i="32"/>
  <c r="C76" i="32"/>
  <c r="D76" i="32"/>
  <c r="E76" i="32"/>
  <c r="F76" i="32"/>
  <c r="G76" i="32"/>
  <c r="H76" i="32"/>
  <c r="I76" i="32"/>
  <c r="J76" i="32"/>
  <c r="K76" i="32"/>
  <c r="L76" i="32"/>
  <c r="M76" i="32"/>
  <c r="N76" i="32"/>
  <c r="O76" i="32"/>
  <c r="P76" i="32"/>
  <c r="Q76" i="32"/>
  <c r="R76" i="32"/>
  <c r="S76" i="32"/>
  <c r="T76" i="32"/>
  <c r="U76" i="32"/>
  <c r="V76" i="32"/>
  <c r="W76" i="32"/>
  <c r="X76" i="32"/>
  <c r="Y76" i="32"/>
  <c r="Z76" i="32"/>
  <c r="AA76" i="32"/>
  <c r="AB76" i="32"/>
  <c r="AC76" i="32"/>
  <c r="AD76" i="32"/>
  <c r="AE76" i="32"/>
  <c r="AF76" i="32"/>
  <c r="AG76" i="32"/>
  <c r="AH76" i="32"/>
  <c r="AI76" i="32"/>
  <c r="AJ76" i="32"/>
  <c r="AK76" i="32"/>
  <c r="AL76" i="32"/>
  <c r="AM76" i="32"/>
  <c r="AN76" i="32"/>
  <c r="AO76" i="32"/>
  <c r="AP76" i="32"/>
  <c r="AQ76" i="32"/>
  <c r="AR76" i="32"/>
  <c r="AS76" i="32"/>
  <c r="AT76" i="32"/>
  <c r="AU76" i="32"/>
  <c r="AV76" i="32"/>
  <c r="AW76" i="32"/>
  <c r="AX76" i="32"/>
  <c r="AY76" i="32"/>
  <c r="AZ76" i="32"/>
  <c r="BA76" i="32"/>
  <c r="BB76" i="32"/>
  <c r="BC76" i="32"/>
  <c r="BD76" i="32"/>
  <c r="BE76" i="32"/>
  <c r="BF76" i="32"/>
  <c r="BG76" i="32"/>
  <c r="BH76" i="32"/>
  <c r="BI76" i="32"/>
  <c r="BJ76" i="32"/>
  <c r="BK76" i="32"/>
  <c r="BL76" i="32"/>
  <c r="BM76" i="32"/>
  <c r="BN76" i="32"/>
  <c r="BO76" i="32"/>
  <c r="BP76" i="32"/>
  <c r="BQ76" i="32"/>
  <c r="BR76" i="32"/>
  <c r="BS76" i="32"/>
  <c r="BT76" i="32"/>
  <c r="BU76" i="32"/>
  <c r="BV76" i="32"/>
  <c r="BW76" i="32"/>
  <c r="BX76" i="32"/>
  <c r="BY76" i="32"/>
  <c r="BZ76" i="32"/>
  <c r="CA76" i="32"/>
  <c r="CB76" i="32"/>
  <c r="CC76" i="32"/>
  <c r="CD76" i="32"/>
  <c r="CE76" i="32"/>
  <c r="CF76" i="32"/>
  <c r="CG76" i="32"/>
  <c r="CH76" i="32"/>
  <c r="CI76" i="32"/>
  <c r="CJ76" i="32"/>
  <c r="CK76" i="32"/>
  <c r="CL76" i="32"/>
  <c r="CM76" i="32"/>
  <c r="CN76" i="32"/>
  <c r="CO76" i="32"/>
  <c r="CP76" i="32"/>
  <c r="CQ76" i="32"/>
  <c r="CR76" i="32"/>
  <c r="CS76" i="32"/>
  <c r="CT76" i="32"/>
  <c r="CU76" i="32"/>
  <c r="CV76" i="32"/>
  <c r="CW76" i="32"/>
  <c r="CX76" i="32"/>
  <c r="CY76" i="32"/>
  <c r="CZ76" i="32"/>
  <c r="DA76" i="32"/>
  <c r="DB76" i="32"/>
  <c r="DC76" i="32"/>
  <c r="DD76" i="32"/>
  <c r="DE76" i="32"/>
  <c r="DF76" i="32"/>
  <c r="DG76" i="32"/>
  <c r="DH76" i="32"/>
  <c r="DI76" i="32"/>
  <c r="DJ76" i="32"/>
  <c r="DK76" i="32"/>
  <c r="DL76" i="32"/>
  <c r="DM76" i="32"/>
  <c r="DN76" i="32"/>
  <c r="DO76" i="32"/>
  <c r="DP76" i="32"/>
  <c r="DQ76" i="32"/>
  <c r="DR76" i="32"/>
  <c r="DS76" i="32"/>
  <c r="DT76" i="32"/>
  <c r="DU76" i="32"/>
  <c r="DV76" i="32"/>
  <c r="DW76" i="32"/>
  <c r="DX76" i="32"/>
  <c r="DY76" i="32"/>
  <c r="DZ76" i="32"/>
  <c r="EA76" i="32"/>
  <c r="EB76" i="32"/>
  <c r="EC76" i="32"/>
  <c r="ED76" i="32"/>
  <c r="EE76" i="32"/>
  <c r="EF76" i="32"/>
  <c r="EG76" i="32"/>
  <c r="EH76" i="32"/>
  <c r="EI76" i="32"/>
  <c r="EJ76" i="32"/>
  <c r="EK76" i="32"/>
  <c r="EL76" i="32"/>
  <c r="EM76" i="32"/>
  <c r="EN76" i="32"/>
  <c r="EO76" i="32"/>
  <c r="EP76" i="32"/>
  <c r="EQ76" i="32"/>
  <c r="ER76" i="32"/>
  <c r="ES76" i="32"/>
  <c r="ET76" i="32"/>
  <c r="EU76" i="32"/>
  <c r="EV76" i="32"/>
  <c r="EW76" i="32"/>
  <c r="EX76" i="32"/>
  <c r="EY76" i="32"/>
  <c r="EZ76" i="32"/>
  <c r="FA76" i="32"/>
  <c r="FB76" i="32"/>
  <c r="FC76" i="32"/>
  <c r="FD76" i="32"/>
  <c r="FE76" i="32"/>
  <c r="FF76" i="32"/>
  <c r="FG76" i="32"/>
  <c r="FH76" i="32"/>
  <c r="FI76" i="32"/>
  <c r="FJ76" i="32"/>
  <c r="FK76" i="32"/>
  <c r="FL76" i="32"/>
  <c r="FM76" i="32"/>
  <c r="FN76" i="32"/>
  <c r="FO76" i="32"/>
  <c r="FP76" i="32"/>
  <c r="FQ76" i="32"/>
  <c r="FR76" i="32"/>
  <c r="FS76" i="32"/>
  <c r="FT76" i="32"/>
  <c r="FU76" i="32"/>
  <c r="FV76" i="32"/>
  <c r="FW76" i="32"/>
  <c r="FX76" i="32"/>
  <c r="FY76" i="32"/>
  <c r="FZ76" i="32"/>
  <c r="GA76" i="32"/>
  <c r="GB76" i="32"/>
  <c r="GC76" i="32"/>
  <c r="GD76" i="32"/>
  <c r="GE76" i="32"/>
  <c r="GF76" i="32"/>
  <c r="GG76" i="32"/>
  <c r="GH76" i="32"/>
  <c r="GI76" i="32"/>
  <c r="GJ76" i="32"/>
  <c r="GK76" i="32"/>
  <c r="GL76" i="32"/>
  <c r="GM76" i="32"/>
  <c r="GN76" i="32"/>
  <c r="GO76" i="32"/>
  <c r="GP76" i="32"/>
  <c r="GQ76" i="32"/>
  <c r="GR76" i="32"/>
  <c r="GS76" i="32"/>
  <c r="GT76" i="32"/>
  <c r="GU76" i="32"/>
  <c r="GV76" i="32"/>
  <c r="GW76" i="32"/>
  <c r="GX76" i="32"/>
  <c r="GY76" i="32"/>
  <c r="GZ76" i="32"/>
  <c r="HA76" i="32"/>
  <c r="HB76" i="32"/>
  <c r="HC76" i="32"/>
  <c r="HD76" i="32"/>
  <c r="HE76" i="32"/>
  <c r="HF76" i="32"/>
  <c r="HG76" i="32"/>
  <c r="HH76" i="32"/>
  <c r="HI76" i="32"/>
  <c r="HJ76" i="32"/>
  <c r="HK76" i="32"/>
  <c r="HL76" i="32"/>
  <c r="HM76" i="32"/>
  <c r="HN76" i="32"/>
  <c r="HO76" i="32"/>
  <c r="HP76" i="32"/>
  <c r="HQ76" i="32"/>
  <c r="HR76" i="32"/>
  <c r="HS76" i="32"/>
  <c r="HT76" i="32"/>
  <c r="HU76" i="32"/>
  <c r="HV76" i="32"/>
  <c r="HW76" i="32"/>
  <c r="HX76" i="32"/>
  <c r="HY76" i="32"/>
  <c r="HZ76" i="32"/>
  <c r="IA76" i="32"/>
  <c r="IB76" i="32"/>
  <c r="IC76" i="32"/>
  <c r="ID76" i="32"/>
  <c r="IE76" i="32"/>
  <c r="IF76" i="32"/>
  <c r="IG76" i="32"/>
  <c r="IH76" i="32"/>
  <c r="II76" i="32"/>
  <c r="IJ76" i="32"/>
  <c r="IK76" i="32"/>
  <c r="IL76" i="32"/>
  <c r="IM76" i="32"/>
  <c r="IN76" i="32"/>
  <c r="IO76" i="32"/>
  <c r="IP76" i="32"/>
  <c r="IQ76" i="32"/>
  <c r="IR76" i="32"/>
  <c r="IS76" i="32"/>
  <c r="IT76" i="32"/>
  <c r="IU76" i="32"/>
  <c r="IV76" i="32"/>
  <c r="A75" i="32"/>
  <c r="B75" i="32"/>
  <c r="C75" i="32"/>
  <c r="D75" i="32"/>
  <c r="E75" i="32"/>
  <c r="F75" i="32"/>
  <c r="G75" i="32"/>
  <c r="H75" i="32"/>
  <c r="I75" i="32"/>
  <c r="J75" i="32"/>
  <c r="K75" i="32"/>
  <c r="L75" i="32"/>
  <c r="M75" i="32"/>
  <c r="N75" i="32"/>
  <c r="O75" i="32"/>
  <c r="P75" i="32"/>
  <c r="Q75" i="32"/>
  <c r="R75" i="32"/>
  <c r="S75" i="32"/>
  <c r="T75" i="32"/>
  <c r="U75" i="32"/>
  <c r="V75" i="32"/>
  <c r="W75" i="32"/>
  <c r="X75" i="32"/>
  <c r="Y75" i="32"/>
  <c r="Z75" i="32"/>
  <c r="AA75" i="32"/>
  <c r="AB75" i="32"/>
  <c r="AC75" i="32"/>
  <c r="AD75" i="32"/>
  <c r="AE75" i="32"/>
  <c r="AF75" i="32"/>
  <c r="AG75" i="32"/>
  <c r="AH75" i="32"/>
  <c r="AI75" i="32"/>
  <c r="AJ75" i="32"/>
  <c r="AK75" i="32"/>
  <c r="AL75" i="32"/>
  <c r="AM75" i="32"/>
  <c r="AN75" i="32"/>
  <c r="AO75" i="32"/>
  <c r="AP75" i="32"/>
  <c r="AQ75" i="32"/>
  <c r="AR75" i="32"/>
  <c r="AS75" i="32"/>
  <c r="AT75" i="32"/>
  <c r="AU75" i="32"/>
  <c r="AV75" i="32"/>
  <c r="AW75" i="32"/>
  <c r="AX75" i="32"/>
  <c r="AY75" i="32"/>
  <c r="AZ75" i="32"/>
  <c r="BA75" i="32"/>
  <c r="BB75" i="32"/>
  <c r="BC75" i="32"/>
  <c r="BD75" i="32"/>
  <c r="BE75" i="32"/>
  <c r="BF75" i="32"/>
  <c r="BG75" i="32"/>
  <c r="BH75" i="32"/>
  <c r="BI75" i="32"/>
  <c r="BJ75" i="32"/>
  <c r="BK75" i="32"/>
  <c r="BL75" i="32"/>
  <c r="BM75" i="32"/>
  <c r="BN75" i="32"/>
  <c r="BO75" i="32"/>
  <c r="BP75" i="32"/>
  <c r="BQ75" i="32"/>
  <c r="BR75" i="32"/>
  <c r="BS75" i="32"/>
  <c r="BT75" i="32"/>
  <c r="BU75" i="32"/>
  <c r="BV75" i="32"/>
  <c r="BW75" i="32"/>
  <c r="BX75" i="32"/>
  <c r="BY75" i="32"/>
  <c r="BZ75" i="32"/>
  <c r="CA75" i="32"/>
  <c r="CB75" i="32"/>
  <c r="CC75" i="32"/>
  <c r="CD75" i="32"/>
  <c r="CE75" i="32"/>
  <c r="CF75" i="32"/>
  <c r="CG75" i="32"/>
  <c r="CH75" i="32"/>
  <c r="CI75" i="32"/>
  <c r="CJ75" i="32"/>
  <c r="CK75" i="32"/>
  <c r="CL75" i="32"/>
  <c r="CM75" i="32"/>
  <c r="CN75" i="32"/>
  <c r="CO75" i="32"/>
  <c r="CP75" i="32"/>
  <c r="CQ75" i="32"/>
  <c r="CR75" i="32"/>
  <c r="CS75" i="32"/>
  <c r="CT75" i="32"/>
  <c r="CU75" i="32"/>
  <c r="CV75" i="32"/>
  <c r="CW75" i="32"/>
  <c r="CX75" i="32"/>
  <c r="CY75" i="32"/>
  <c r="CZ75" i="32"/>
  <c r="DA75" i="32"/>
  <c r="DB75" i="32"/>
  <c r="DC75" i="32"/>
  <c r="DD75" i="32"/>
  <c r="DE75" i="32"/>
  <c r="DF75" i="32"/>
  <c r="DG75" i="32"/>
  <c r="DH75" i="32"/>
  <c r="DI75" i="32"/>
  <c r="DJ75" i="32"/>
  <c r="DK75" i="32"/>
  <c r="DL75" i="32"/>
  <c r="DM75" i="32"/>
  <c r="DN75" i="32"/>
  <c r="DO75" i="32"/>
  <c r="DP75" i="32"/>
  <c r="DQ75" i="32"/>
  <c r="DR75" i="32"/>
  <c r="DS75" i="32"/>
  <c r="DT75" i="32"/>
  <c r="DU75" i="32"/>
  <c r="DV75" i="32"/>
  <c r="DW75" i="32"/>
  <c r="DX75" i="32"/>
  <c r="DY75" i="32"/>
  <c r="DZ75" i="32"/>
  <c r="EA75" i="32"/>
  <c r="EB75" i="32"/>
  <c r="EC75" i="32"/>
  <c r="ED75" i="32"/>
  <c r="EE75" i="32"/>
  <c r="EF75" i="32"/>
  <c r="EG75" i="32"/>
  <c r="EH75" i="32"/>
  <c r="EI75" i="32"/>
  <c r="EJ75" i="32"/>
  <c r="EK75" i="32"/>
  <c r="EL75" i="32"/>
  <c r="EM75" i="32"/>
  <c r="EN75" i="32"/>
  <c r="EO75" i="32"/>
  <c r="EP75" i="32"/>
  <c r="EQ75" i="32"/>
  <c r="ER75" i="32"/>
  <c r="ES75" i="32"/>
  <c r="ET75" i="32"/>
  <c r="EU75" i="32"/>
  <c r="EV75" i="32"/>
  <c r="EW75" i="32"/>
  <c r="EX75" i="32"/>
  <c r="EY75" i="32"/>
  <c r="EZ75" i="32"/>
  <c r="FA75" i="32"/>
  <c r="FB75" i="32"/>
  <c r="FC75" i="32"/>
  <c r="FD75" i="32"/>
  <c r="FE75" i="32"/>
  <c r="FF75" i="32"/>
  <c r="FG75" i="32"/>
  <c r="FH75" i="32"/>
  <c r="FI75" i="32"/>
  <c r="FJ75" i="32"/>
  <c r="FK75" i="32"/>
  <c r="FL75" i="32"/>
  <c r="FM75" i="32"/>
  <c r="FN75" i="32"/>
  <c r="FO75" i="32"/>
  <c r="FP75" i="32"/>
  <c r="FQ75" i="32"/>
  <c r="FR75" i="32"/>
  <c r="FS75" i="32"/>
  <c r="FT75" i="32"/>
  <c r="FU75" i="32"/>
  <c r="FV75" i="32"/>
  <c r="FW75" i="32"/>
  <c r="FX75" i="32"/>
  <c r="FY75" i="32"/>
  <c r="FZ75" i="32"/>
  <c r="GA75" i="32"/>
  <c r="GB75" i="32"/>
  <c r="GC75" i="32"/>
  <c r="GD75" i="32"/>
  <c r="GE75" i="32"/>
  <c r="GF75" i="32"/>
  <c r="GG75" i="32"/>
  <c r="GH75" i="32"/>
  <c r="GI75" i="32"/>
  <c r="GJ75" i="32"/>
  <c r="GK75" i="32"/>
  <c r="GL75" i="32"/>
  <c r="GM75" i="32"/>
  <c r="GN75" i="32"/>
  <c r="GO75" i="32"/>
  <c r="GP75" i="32"/>
  <c r="GQ75" i="32"/>
  <c r="GR75" i="32"/>
  <c r="GS75" i="32"/>
  <c r="GT75" i="32"/>
  <c r="GU75" i="32"/>
  <c r="GV75" i="32"/>
  <c r="GW75" i="32"/>
  <c r="GX75" i="32"/>
  <c r="GY75" i="32"/>
  <c r="GZ75" i="32"/>
  <c r="HA75" i="32"/>
  <c r="HB75" i="32"/>
  <c r="HC75" i="32"/>
  <c r="HD75" i="32"/>
  <c r="HE75" i="32"/>
  <c r="HF75" i="32"/>
  <c r="HG75" i="32"/>
  <c r="HH75" i="32"/>
  <c r="HI75" i="32"/>
  <c r="HJ75" i="32"/>
  <c r="HK75" i="32"/>
  <c r="HL75" i="32"/>
  <c r="HM75" i="32"/>
  <c r="HN75" i="32"/>
  <c r="HO75" i="32"/>
  <c r="HP75" i="32"/>
  <c r="HQ75" i="32"/>
  <c r="HR75" i="32"/>
  <c r="HS75" i="32"/>
  <c r="HT75" i="32"/>
  <c r="HU75" i="32"/>
  <c r="HV75" i="32"/>
  <c r="HW75" i="32"/>
  <c r="HX75" i="32"/>
  <c r="HY75" i="32"/>
  <c r="HZ75" i="32"/>
  <c r="IA75" i="32"/>
  <c r="IB75" i="32"/>
  <c r="IC75" i="32"/>
  <c r="ID75" i="32"/>
  <c r="IE75" i="32"/>
  <c r="IF75" i="32"/>
  <c r="IG75" i="32"/>
  <c r="IH75" i="32"/>
  <c r="II75" i="32"/>
  <c r="IJ75" i="32"/>
  <c r="IK75" i="32"/>
  <c r="IL75" i="32"/>
  <c r="IM75" i="32"/>
  <c r="IN75" i="32"/>
  <c r="IO75" i="32"/>
  <c r="IP75" i="32"/>
  <c r="IQ75" i="32"/>
  <c r="IR75" i="32"/>
  <c r="IS75" i="32"/>
  <c r="IT75" i="32"/>
  <c r="IU75" i="32"/>
  <c r="IV75" i="32"/>
  <c r="A74" i="32"/>
  <c r="B74" i="32"/>
  <c r="C74" i="32"/>
  <c r="D74" i="32"/>
  <c r="E74" i="32"/>
  <c r="F74" i="32"/>
  <c r="G74" i="32"/>
  <c r="H74" i="32"/>
  <c r="I74" i="32"/>
  <c r="J74" i="32"/>
  <c r="K74" i="32"/>
  <c r="L74" i="32"/>
  <c r="M74" i="32"/>
  <c r="N74" i="32"/>
  <c r="O74" i="32"/>
  <c r="P74" i="32"/>
  <c r="Q74" i="32"/>
  <c r="R74" i="32"/>
  <c r="S74" i="32"/>
  <c r="T74" i="32"/>
  <c r="U74" i="32"/>
  <c r="V74" i="32"/>
  <c r="W74" i="32"/>
  <c r="X74" i="32"/>
  <c r="Y74" i="32"/>
  <c r="Z74" i="32"/>
  <c r="AA74" i="32"/>
  <c r="AB74" i="32"/>
  <c r="AC74" i="32"/>
  <c r="AD74" i="32"/>
  <c r="AE74" i="32"/>
  <c r="AF74" i="32"/>
  <c r="AG74" i="32"/>
  <c r="AH74" i="32"/>
  <c r="AI74" i="32"/>
  <c r="AJ74" i="32"/>
  <c r="AK74" i="32"/>
  <c r="AL74" i="32"/>
  <c r="AM74" i="32"/>
  <c r="AN74" i="32"/>
  <c r="AO74" i="32"/>
  <c r="AP74" i="32"/>
  <c r="AQ74" i="32"/>
  <c r="AR74" i="32"/>
  <c r="AS74" i="32"/>
  <c r="AT74" i="32"/>
  <c r="AU74" i="32"/>
  <c r="AV74" i="32"/>
  <c r="AW74" i="32"/>
  <c r="AX74" i="32"/>
  <c r="AY74" i="32"/>
  <c r="AZ74" i="32"/>
  <c r="BA74" i="32"/>
  <c r="BB74" i="32"/>
  <c r="BC74" i="32"/>
  <c r="BD74" i="32"/>
  <c r="BE74" i="32"/>
  <c r="BF74" i="32"/>
  <c r="BG74" i="32"/>
  <c r="BH74" i="32"/>
  <c r="BI74" i="32"/>
  <c r="BJ74" i="32"/>
  <c r="BK74" i="32"/>
  <c r="BL74" i="32"/>
  <c r="BM74" i="32"/>
  <c r="BN74" i="32"/>
  <c r="BO74" i="32"/>
  <c r="BP74" i="32"/>
  <c r="BQ74" i="32"/>
  <c r="BR74" i="32"/>
  <c r="BS74" i="32"/>
  <c r="BT74" i="32"/>
  <c r="BU74" i="32"/>
  <c r="BV74" i="32"/>
  <c r="BW74" i="32"/>
  <c r="BX74" i="32"/>
  <c r="BY74" i="32"/>
  <c r="BZ74" i="32"/>
  <c r="CA74" i="32"/>
  <c r="CB74" i="32"/>
  <c r="CC74" i="32"/>
  <c r="CD74" i="32"/>
  <c r="CE74" i="32"/>
  <c r="CF74" i="32"/>
  <c r="CG74" i="32"/>
  <c r="CH74" i="32"/>
  <c r="CI74" i="32"/>
  <c r="CJ74" i="32"/>
  <c r="CK74" i="32"/>
  <c r="CL74" i="32"/>
  <c r="CM74" i="32"/>
  <c r="CN74" i="32"/>
  <c r="CO74" i="32"/>
  <c r="CP74" i="32"/>
  <c r="CQ74" i="32"/>
  <c r="CR74" i="32"/>
  <c r="CS74" i="32"/>
  <c r="CT74" i="32"/>
  <c r="CU74" i="32"/>
  <c r="CV74" i="32"/>
  <c r="CW74" i="32"/>
  <c r="CX74" i="32"/>
  <c r="CY74" i="32"/>
  <c r="CZ74" i="32"/>
  <c r="DA74" i="32"/>
  <c r="DB74" i="32"/>
  <c r="DC74" i="32"/>
  <c r="DD74" i="32"/>
  <c r="DE74" i="32"/>
  <c r="DF74" i="32"/>
  <c r="DG74" i="32"/>
  <c r="DH74" i="32"/>
  <c r="DI74" i="32"/>
  <c r="DJ74" i="32"/>
  <c r="DK74" i="32"/>
  <c r="DL74" i="32"/>
  <c r="DM74" i="32"/>
  <c r="DN74" i="32"/>
  <c r="DO74" i="32"/>
  <c r="DP74" i="32"/>
  <c r="DQ74" i="32"/>
  <c r="DR74" i="32"/>
  <c r="DS74" i="32"/>
  <c r="DT74" i="32"/>
  <c r="DU74" i="32"/>
  <c r="DV74" i="32"/>
  <c r="DW74" i="32"/>
  <c r="DX74" i="32"/>
  <c r="DY74" i="32"/>
  <c r="DZ74" i="32"/>
  <c r="EA74" i="32"/>
  <c r="EB74" i="32"/>
  <c r="EC74" i="32"/>
  <c r="ED74" i="32"/>
  <c r="EE74" i="32"/>
  <c r="EF74" i="32"/>
  <c r="EG74" i="32"/>
  <c r="EH74" i="32"/>
  <c r="EI74" i="32"/>
  <c r="EJ74" i="32"/>
  <c r="EK74" i="32"/>
  <c r="EL74" i="32"/>
  <c r="EM74" i="32"/>
  <c r="EN74" i="32"/>
  <c r="EO74" i="32"/>
  <c r="EP74" i="32"/>
  <c r="EQ74" i="32"/>
  <c r="ER74" i="32"/>
  <c r="ES74" i="32"/>
  <c r="ET74" i="32"/>
  <c r="EU74" i="32"/>
  <c r="EV74" i="32"/>
  <c r="EW74" i="32"/>
  <c r="EX74" i="32"/>
  <c r="EY74" i="32"/>
  <c r="EZ74" i="32"/>
  <c r="FA74" i="32"/>
  <c r="FB74" i="32"/>
  <c r="FC74" i="32"/>
  <c r="FD74" i="32"/>
  <c r="FE74" i="32"/>
  <c r="FF74" i="32"/>
  <c r="FG74" i="32"/>
  <c r="FH74" i="32"/>
  <c r="FI74" i="32"/>
  <c r="FJ74" i="32"/>
  <c r="FK74" i="32"/>
  <c r="FL74" i="32"/>
  <c r="FM74" i="32"/>
  <c r="FN74" i="32"/>
  <c r="FO74" i="32"/>
  <c r="FP74" i="32"/>
  <c r="FQ74" i="32"/>
  <c r="FR74" i="32"/>
  <c r="FS74" i="32"/>
  <c r="FT74" i="32"/>
  <c r="FU74" i="32"/>
  <c r="FV74" i="32"/>
  <c r="FW74" i="32"/>
  <c r="FX74" i="32"/>
  <c r="FY74" i="32"/>
  <c r="FZ74" i="32"/>
  <c r="GA74" i="32"/>
  <c r="GB74" i="32"/>
  <c r="GC74" i="32"/>
  <c r="GD74" i="32"/>
  <c r="GE74" i="32"/>
  <c r="GF74" i="32"/>
  <c r="GG74" i="32"/>
  <c r="GH74" i="32"/>
  <c r="GI74" i="32"/>
  <c r="GJ74" i="32"/>
  <c r="GK74" i="32"/>
  <c r="GL74" i="32"/>
  <c r="GM74" i="32"/>
  <c r="GN74" i="32"/>
  <c r="GO74" i="32"/>
  <c r="GP74" i="32"/>
  <c r="GQ74" i="32"/>
  <c r="GR74" i="32"/>
  <c r="GS74" i="32"/>
  <c r="GT74" i="32"/>
  <c r="GU74" i="32"/>
  <c r="GV74" i="32"/>
  <c r="GW74" i="32"/>
  <c r="GX74" i="32"/>
  <c r="GY74" i="32"/>
  <c r="GZ74" i="32"/>
  <c r="HA74" i="32"/>
  <c r="HB74" i="32"/>
  <c r="HC74" i="32"/>
  <c r="HD74" i="32"/>
  <c r="HE74" i="32"/>
  <c r="HF74" i="32"/>
  <c r="HG74" i="32"/>
  <c r="HH74" i="32"/>
  <c r="HI74" i="32"/>
  <c r="HJ74" i="32"/>
  <c r="HK74" i="32"/>
  <c r="HL74" i="32"/>
  <c r="HM74" i="32"/>
  <c r="HN74" i="32"/>
  <c r="HO74" i="32"/>
  <c r="HP74" i="32"/>
  <c r="HQ74" i="32"/>
  <c r="HR74" i="32"/>
  <c r="HS74" i="32"/>
  <c r="HT74" i="32"/>
  <c r="HU74" i="32"/>
  <c r="HV74" i="32"/>
  <c r="HW74" i="32"/>
  <c r="HX74" i="32"/>
  <c r="HY74" i="32"/>
  <c r="HZ74" i="32"/>
  <c r="IA74" i="32"/>
  <c r="IB74" i="32"/>
  <c r="IC74" i="32"/>
  <c r="ID74" i="32"/>
  <c r="IE74" i="32"/>
  <c r="IF74" i="32"/>
  <c r="IG74" i="32"/>
  <c r="IH74" i="32"/>
  <c r="II74" i="32"/>
  <c r="IJ74" i="32"/>
  <c r="IK74" i="32"/>
  <c r="IL74" i="32"/>
  <c r="IM74" i="32"/>
  <c r="IN74" i="32"/>
  <c r="IO74" i="32"/>
  <c r="IP74" i="32"/>
  <c r="IQ74" i="32"/>
  <c r="IR74" i="32"/>
  <c r="IS74" i="32"/>
  <c r="IT74" i="32"/>
  <c r="IU74" i="32"/>
  <c r="IV74" i="32"/>
  <c r="A73" i="32"/>
  <c r="B73" i="32"/>
  <c r="C73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P73" i="32"/>
  <c r="Q73" i="32"/>
  <c r="R73" i="32"/>
  <c r="S73" i="32"/>
  <c r="T73" i="32"/>
  <c r="U73" i="32"/>
  <c r="V73" i="32"/>
  <c r="W73" i="32"/>
  <c r="X73" i="32"/>
  <c r="Y73" i="32"/>
  <c r="Z73" i="32"/>
  <c r="AA73" i="32"/>
  <c r="AB73" i="32"/>
  <c r="AC73" i="32"/>
  <c r="AD73" i="32"/>
  <c r="AE73" i="32"/>
  <c r="AF73" i="32"/>
  <c r="AG73" i="32"/>
  <c r="AH73" i="32"/>
  <c r="AI73" i="32"/>
  <c r="AJ73" i="32"/>
  <c r="AK73" i="32"/>
  <c r="AL73" i="32"/>
  <c r="AM73" i="32"/>
  <c r="AN73" i="32"/>
  <c r="AO73" i="32"/>
  <c r="AP73" i="32"/>
  <c r="AQ73" i="32"/>
  <c r="AR73" i="32"/>
  <c r="AS73" i="32"/>
  <c r="AT73" i="32"/>
  <c r="AU73" i="32"/>
  <c r="AV73" i="32"/>
  <c r="AW73" i="32"/>
  <c r="AX73" i="32"/>
  <c r="AY73" i="32"/>
  <c r="AZ73" i="32"/>
  <c r="BA73" i="32"/>
  <c r="BB73" i="32"/>
  <c r="BC73" i="32"/>
  <c r="BD73" i="32"/>
  <c r="BE73" i="32"/>
  <c r="BF73" i="32"/>
  <c r="BG73" i="32"/>
  <c r="BH73" i="32"/>
  <c r="BI73" i="32"/>
  <c r="BJ73" i="32"/>
  <c r="BK73" i="32"/>
  <c r="BL73" i="32"/>
  <c r="BM73" i="32"/>
  <c r="BN73" i="32"/>
  <c r="BO73" i="32"/>
  <c r="BP73" i="32"/>
  <c r="BQ73" i="32"/>
  <c r="BR73" i="32"/>
  <c r="BS73" i="32"/>
  <c r="BT73" i="32"/>
  <c r="BU73" i="32"/>
  <c r="BV73" i="32"/>
  <c r="BW73" i="32"/>
  <c r="BX73" i="32"/>
  <c r="BY73" i="32"/>
  <c r="BZ73" i="32"/>
  <c r="CA73" i="32"/>
  <c r="CB73" i="32"/>
  <c r="CC73" i="32"/>
  <c r="CD73" i="32"/>
  <c r="CE73" i="32"/>
  <c r="CF73" i="32"/>
  <c r="CG73" i="32"/>
  <c r="CH73" i="32"/>
  <c r="CI73" i="32"/>
  <c r="CJ73" i="32"/>
  <c r="CK73" i="32"/>
  <c r="CL73" i="32"/>
  <c r="CM73" i="32"/>
  <c r="CN73" i="32"/>
  <c r="CO73" i="32"/>
  <c r="CP73" i="32"/>
  <c r="CQ73" i="32"/>
  <c r="CR73" i="32"/>
  <c r="CS73" i="32"/>
  <c r="CT73" i="32"/>
  <c r="CU73" i="32"/>
  <c r="CV73" i="32"/>
  <c r="CW73" i="32"/>
  <c r="CX73" i="32"/>
  <c r="CY73" i="32"/>
  <c r="CZ73" i="32"/>
  <c r="DA73" i="32"/>
  <c r="DB73" i="32"/>
  <c r="DC73" i="32"/>
  <c r="DD73" i="32"/>
  <c r="DE73" i="32"/>
  <c r="DF73" i="32"/>
  <c r="DG73" i="32"/>
  <c r="DH73" i="32"/>
  <c r="DI73" i="32"/>
  <c r="DJ73" i="32"/>
  <c r="DK73" i="32"/>
  <c r="DL73" i="32"/>
  <c r="DM73" i="32"/>
  <c r="DN73" i="32"/>
  <c r="DO73" i="32"/>
  <c r="DP73" i="32"/>
  <c r="DQ73" i="32"/>
  <c r="DR73" i="32"/>
  <c r="DS73" i="32"/>
  <c r="DT73" i="32"/>
  <c r="DU73" i="32"/>
  <c r="DV73" i="32"/>
  <c r="DW73" i="32"/>
  <c r="DX73" i="32"/>
  <c r="DY73" i="32"/>
  <c r="DZ73" i="32"/>
  <c r="EA73" i="32"/>
  <c r="EB73" i="32"/>
  <c r="EC73" i="32"/>
  <c r="ED73" i="32"/>
  <c r="EE73" i="32"/>
  <c r="EF73" i="32"/>
  <c r="EG73" i="32"/>
  <c r="EH73" i="32"/>
  <c r="EI73" i="32"/>
  <c r="EJ73" i="32"/>
  <c r="EK73" i="32"/>
  <c r="EL73" i="32"/>
  <c r="EM73" i="32"/>
  <c r="EN73" i="32"/>
  <c r="EO73" i="32"/>
  <c r="EP73" i="32"/>
  <c r="EQ73" i="32"/>
  <c r="ER73" i="32"/>
  <c r="ES73" i="32"/>
  <c r="ET73" i="32"/>
  <c r="EU73" i="32"/>
  <c r="EV73" i="32"/>
  <c r="EW73" i="32"/>
  <c r="EX73" i="32"/>
  <c r="EY73" i="32"/>
  <c r="EZ73" i="32"/>
  <c r="FA73" i="32"/>
  <c r="FB73" i="32"/>
  <c r="FC73" i="32"/>
  <c r="FD73" i="32"/>
  <c r="FE73" i="32"/>
  <c r="FF73" i="32"/>
  <c r="FG73" i="32"/>
  <c r="FH73" i="32"/>
  <c r="FI73" i="32"/>
  <c r="FJ73" i="32"/>
  <c r="FK73" i="32"/>
  <c r="FL73" i="32"/>
  <c r="FM73" i="32"/>
  <c r="FN73" i="32"/>
  <c r="FO73" i="32"/>
  <c r="FP73" i="32"/>
  <c r="FQ73" i="32"/>
  <c r="FR73" i="32"/>
  <c r="FS73" i="32"/>
  <c r="FT73" i="32"/>
  <c r="FU73" i="32"/>
  <c r="FV73" i="32"/>
  <c r="FW73" i="32"/>
  <c r="FX73" i="32"/>
  <c r="FY73" i="32"/>
  <c r="FZ73" i="32"/>
  <c r="GA73" i="32"/>
  <c r="GB73" i="32"/>
  <c r="GC73" i="32"/>
  <c r="GD73" i="32"/>
  <c r="GE73" i="32"/>
  <c r="GF73" i="32"/>
  <c r="GG73" i="32"/>
  <c r="GH73" i="32"/>
  <c r="GI73" i="32"/>
  <c r="GJ73" i="32"/>
  <c r="GK73" i="32"/>
  <c r="GL73" i="32"/>
  <c r="GM73" i="32"/>
  <c r="GN73" i="32"/>
  <c r="GO73" i="32"/>
  <c r="GP73" i="32"/>
  <c r="GQ73" i="32"/>
  <c r="GR73" i="32"/>
  <c r="GS73" i="32"/>
  <c r="GT73" i="32"/>
  <c r="GU73" i="32"/>
  <c r="GV73" i="32"/>
  <c r="GW73" i="32"/>
  <c r="GX73" i="32"/>
  <c r="GY73" i="32"/>
  <c r="GZ73" i="32"/>
  <c r="HA73" i="32"/>
  <c r="HB73" i="32"/>
  <c r="HC73" i="32"/>
  <c r="HD73" i="32"/>
  <c r="HE73" i="32"/>
  <c r="HF73" i="32"/>
  <c r="HG73" i="32"/>
  <c r="HH73" i="32"/>
  <c r="HI73" i="32"/>
  <c r="HJ73" i="32"/>
  <c r="HK73" i="32"/>
  <c r="HL73" i="32"/>
  <c r="HM73" i="32"/>
  <c r="HN73" i="32"/>
  <c r="HO73" i="32"/>
  <c r="HP73" i="32"/>
  <c r="HQ73" i="32"/>
  <c r="HR73" i="32"/>
  <c r="HS73" i="32"/>
  <c r="HT73" i="32"/>
  <c r="HU73" i="32"/>
  <c r="HV73" i="32"/>
  <c r="HW73" i="32"/>
  <c r="HX73" i="32"/>
  <c r="HY73" i="32"/>
  <c r="HZ73" i="32"/>
  <c r="IA73" i="32"/>
  <c r="IB73" i="32"/>
  <c r="IC73" i="32"/>
  <c r="ID73" i="32"/>
  <c r="IE73" i="32"/>
  <c r="IF73" i="32"/>
  <c r="IG73" i="32"/>
  <c r="IH73" i="32"/>
  <c r="II73" i="32"/>
  <c r="IJ73" i="32"/>
  <c r="IK73" i="32"/>
  <c r="IL73" i="32"/>
  <c r="IM73" i="32"/>
  <c r="IN73" i="32"/>
  <c r="IO73" i="32"/>
  <c r="IP73" i="32"/>
  <c r="IQ73" i="32"/>
  <c r="IR73" i="32"/>
  <c r="IS73" i="32"/>
  <c r="IT73" i="32"/>
  <c r="IU73" i="32"/>
  <c r="IV73" i="32"/>
  <c r="A72" i="32"/>
  <c r="B72" i="32"/>
  <c r="C72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T72" i="32"/>
  <c r="U72" i="32"/>
  <c r="V72" i="32"/>
  <c r="W72" i="32"/>
  <c r="X72" i="32"/>
  <c r="Y72" i="32"/>
  <c r="Z72" i="32"/>
  <c r="AA72" i="32"/>
  <c r="AB72" i="32"/>
  <c r="AC72" i="32"/>
  <c r="AD72" i="32"/>
  <c r="AE72" i="32"/>
  <c r="AF72" i="32"/>
  <c r="AG72" i="32"/>
  <c r="AH72" i="32"/>
  <c r="AI72" i="32"/>
  <c r="AJ72" i="32"/>
  <c r="AK72" i="32"/>
  <c r="AL72" i="32"/>
  <c r="AM72" i="32"/>
  <c r="AN72" i="32"/>
  <c r="AO72" i="32"/>
  <c r="AP72" i="32"/>
  <c r="AQ72" i="32"/>
  <c r="AR72" i="32"/>
  <c r="AS72" i="32"/>
  <c r="AT72" i="32"/>
  <c r="AU72" i="32"/>
  <c r="AV72" i="32"/>
  <c r="AW72" i="32"/>
  <c r="AX72" i="32"/>
  <c r="AY72" i="32"/>
  <c r="AZ72" i="32"/>
  <c r="BA72" i="32"/>
  <c r="BB72" i="32"/>
  <c r="BC72" i="32"/>
  <c r="BD72" i="32"/>
  <c r="BE72" i="32"/>
  <c r="BF72" i="32"/>
  <c r="BG72" i="32"/>
  <c r="BH72" i="32"/>
  <c r="BI72" i="32"/>
  <c r="BJ72" i="32"/>
  <c r="BK72" i="32"/>
  <c r="BL72" i="32"/>
  <c r="BM72" i="32"/>
  <c r="BN72" i="32"/>
  <c r="BO72" i="32"/>
  <c r="BP72" i="32"/>
  <c r="BQ72" i="32"/>
  <c r="BR72" i="32"/>
  <c r="BS72" i="32"/>
  <c r="BT72" i="32"/>
  <c r="BU72" i="32"/>
  <c r="BV72" i="32"/>
  <c r="BW72" i="32"/>
  <c r="BX72" i="32"/>
  <c r="BY72" i="32"/>
  <c r="BZ72" i="32"/>
  <c r="CA72" i="32"/>
  <c r="CB72" i="32"/>
  <c r="CC72" i="32"/>
  <c r="CD72" i="32"/>
  <c r="CE72" i="32"/>
  <c r="CF72" i="32"/>
  <c r="CG72" i="32"/>
  <c r="CH72" i="32"/>
  <c r="CI72" i="32"/>
  <c r="CJ72" i="32"/>
  <c r="CK72" i="32"/>
  <c r="CL72" i="32"/>
  <c r="CM72" i="32"/>
  <c r="CN72" i="32"/>
  <c r="CO72" i="32"/>
  <c r="CP72" i="32"/>
  <c r="CQ72" i="32"/>
  <c r="CR72" i="32"/>
  <c r="CS72" i="32"/>
  <c r="CT72" i="32"/>
  <c r="CU72" i="32"/>
  <c r="CV72" i="32"/>
  <c r="CW72" i="32"/>
  <c r="CX72" i="32"/>
  <c r="CY72" i="32"/>
  <c r="CZ72" i="32"/>
  <c r="DA72" i="32"/>
  <c r="DB72" i="32"/>
  <c r="DC72" i="32"/>
  <c r="DD72" i="32"/>
  <c r="DE72" i="32"/>
  <c r="DF72" i="32"/>
  <c r="DG72" i="32"/>
  <c r="DH72" i="32"/>
  <c r="DI72" i="32"/>
  <c r="DJ72" i="32"/>
  <c r="DK72" i="32"/>
  <c r="DL72" i="32"/>
  <c r="DM72" i="32"/>
  <c r="DN72" i="32"/>
  <c r="DO72" i="32"/>
  <c r="DP72" i="32"/>
  <c r="DQ72" i="32"/>
  <c r="DR72" i="32"/>
  <c r="DS72" i="32"/>
  <c r="DT72" i="32"/>
  <c r="DU72" i="32"/>
  <c r="DV72" i="32"/>
  <c r="DW72" i="32"/>
  <c r="DX72" i="32"/>
  <c r="DY72" i="32"/>
  <c r="DZ72" i="32"/>
  <c r="EA72" i="32"/>
  <c r="EB72" i="32"/>
  <c r="EC72" i="32"/>
  <c r="ED72" i="32"/>
  <c r="EE72" i="32"/>
  <c r="EF72" i="32"/>
  <c r="EG72" i="32"/>
  <c r="EH72" i="32"/>
  <c r="EI72" i="32"/>
  <c r="EJ72" i="32"/>
  <c r="EK72" i="32"/>
  <c r="EL72" i="32"/>
  <c r="EM72" i="32"/>
  <c r="EN72" i="32"/>
  <c r="EO72" i="32"/>
  <c r="EP72" i="32"/>
  <c r="EQ72" i="32"/>
  <c r="ER72" i="32"/>
  <c r="ES72" i="32"/>
  <c r="ET72" i="32"/>
  <c r="EU72" i="32"/>
  <c r="EV72" i="32"/>
  <c r="EW72" i="32"/>
  <c r="EX72" i="32"/>
  <c r="EY72" i="32"/>
  <c r="EZ72" i="32"/>
  <c r="FA72" i="32"/>
  <c r="FB72" i="32"/>
  <c r="FC72" i="32"/>
  <c r="FD72" i="32"/>
  <c r="FE72" i="32"/>
  <c r="FF72" i="32"/>
  <c r="FG72" i="32"/>
  <c r="FH72" i="32"/>
  <c r="FI72" i="32"/>
  <c r="FJ72" i="32"/>
  <c r="FK72" i="32"/>
  <c r="FL72" i="32"/>
  <c r="FM72" i="32"/>
  <c r="FN72" i="32"/>
  <c r="FO72" i="32"/>
  <c r="FP72" i="32"/>
  <c r="FQ72" i="32"/>
  <c r="FR72" i="32"/>
  <c r="FS72" i="32"/>
  <c r="FT72" i="32"/>
  <c r="FU72" i="32"/>
  <c r="FV72" i="32"/>
  <c r="FW72" i="32"/>
  <c r="FX72" i="32"/>
  <c r="FY72" i="32"/>
  <c r="FZ72" i="32"/>
  <c r="GA72" i="32"/>
  <c r="GB72" i="32"/>
  <c r="GC72" i="32"/>
  <c r="GD72" i="32"/>
  <c r="GE72" i="32"/>
  <c r="GF72" i="32"/>
  <c r="GG72" i="32"/>
  <c r="GH72" i="32"/>
  <c r="GI72" i="32"/>
  <c r="GJ72" i="32"/>
  <c r="GK72" i="32"/>
  <c r="GL72" i="32"/>
  <c r="GM72" i="32"/>
  <c r="GN72" i="32"/>
  <c r="GO72" i="32"/>
  <c r="GP72" i="32"/>
  <c r="GQ72" i="32"/>
  <c r="GR72" i="32"/>
  <c r="GS72" i="32"/>
  <c r="GT72" i="32"/>
  <c r="GU72" i="32"/>
  <c r="GV72" i="32"/>
  <c r="GW72" i="32"/>
  <c r="GX72" i="32"/>
  <c r="GY72" i="32"/>
  <c r="GZ72" i="32"/>
  <c r="HA72" i="32"/>
  <c r="HB72" i="32"/>
  <c r="HC72" i="32"/>
  <c r="HD72" i="32"/>
  <c r="HE72" i="32"/>
  <c r="HF72" i="32"/>
  <c r="HG72" i="32"/>
  <c r="HH72" i="32"/>
  <c r="HI72" i="32"/>
  <c r="HJ72" i="32"/>
  <c r="HK72" i="32"/>
  <c r="HL72" i="32"/>
  <c r="HM72" i="32"/>
  <c r="HN72" i="32"/>
  <c r="HO72" i="32"/>
  <c r="HP72" i="32"/>
  <c r="HQ72" i="32"/>
  <c r="HR72" i="32"/>
  <c r="HS72" i="32"/>
  <c r="HT72" i="32"/>
  <c r="HU72" i="32"/>
  <c r="HV72" i="32"/>
  <c r="HW72" i="32"/>
  <c r="HX72" i="32"/>
  <c r="HY72" i="32"/>
  <c r="HZ72" i="32"/>
  <c r="IA72" i="32"/>
  <c r="IB72" i="32"/>
  <c r="IC72" i="32"/>
  <c r="ID72" i="32"/>
  <c r="IE72" i="32"/>
  <c r="IF72" i="32"/>
  <c r="IG72" i="32"/>
  <c r="IH72" i="32"/>
  <c r="II72" i="32"/>
  <c r="IJ72" i="32"/>
  <c r="IK72" i="32"/>
  <c r="IL72" i="32"/>
  <c r="IM72" i="32"/>
  <c r="IN72" i="32"/>
  <c r="IO72" i="32"/>
  <c r="IP72" i="32"/>
  <c r="IQ72" i="32"/>
  <c r="IR72" i="32"/>
  <c r="IS72" i="32"/>
  <c r="IT72" i="32"/>
  <c r="IU72" i="32"/>
  <c r="IV72" i="32"/>
  <c r="A71" i="32"/>
  <c r="B71" i="32"/>
  <c r="C71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P71" i="32"/>
  <c r="Q71" i="32"/>
  <c r="R71" i="32"/>
  <c r="S71" i="32"/>
  <c r="T71" i="32"/>
  <c r="U71" i="32"/>
  <c r="V71" i="32"/>
  <c r="W71" i="32"/>
  <c r="X71" i="32"/>
  <c r="Y71" i="32"/>
  <c r="Z71" i="32"/>
  <c r="AA71" i="32"/>
  <c r="AB71" i="32"/>
  <c r="AC71" i="32"/>
  <c r="AD71" i="32"/>
  <c r="AE71" i="32"/>
  <c r="AF71" i="32"/>
  <c r="AG71" i="32"/>
  <c r="AH71" i="32"/>
  <c r="AI71" i="32"/>
  <c r="AJ71" i="32"/>
  <c r="AK71" i="32"/>
  <c r="AL71" i="32"/>
  <c r="AM71" i="32"/>
  <c r="AN71" i="32"/>
  <c r="AO71" i="32"/>
  <c r="AP71" i="32"/>
  <c r="AQ71" i="32"/>
  <c r="AR71" i="32"/>
  <c r="AS71" i="32"/>
  <c r="AT71" i="32"/>
  <c r="AU71" i="32"/>
  <c r="AV71" i="32"/>
  <c r="AW71" i="32"/>
  <c r="AX71" i="32"/>
  <c r="AY71" i="32"/>
  <c r="AZ71" i="32"/>
  <c r="BA71" i="32"/>
  <c r="BB71" i="32"/>
  <c r="BC71" i="32"/>
  <c r="BD71" i="32"/>
  <c r="BE71" i="32"/>
  <c r="BF71" i="32"/>
  <c r="BG71" i="32"/>
  <c r="BH71" i="32"/>
  <c r="BI71" i="32"/>
  <c r="BJ71" i="32"/>
  <c r="BK71" i="32"/>
  <c r="BL71" i="32"/>
  <c r="BM71" i="32"/>
  <c r="BN71" i="32"/>
  <c r="BO71" i="32"/>
  <c r="BP71" i="32"/>
  <c r="BQ71" i="32"/>
  <c r="BR71" i="32"/>
  <c r="BS71" i="32"/>
  <c r="BT71" i="32"/>
  <c r="BU71" i="32"/>
  <c r="BV71" i="32"/>
  <c r="BW71" i="32"/>
  <c r="BX71" i="32"/>
  <c r="BY71" i="32"/>
  <c r="BZ71" i="32"/>
  <c r="CA71" i="32"/>
  <c r="CB71" i="32"/>
  <c r="CC71" i="32"/>
  <c r="CD71" i="32"/>
  <c r="CE71" i="32"/>
  <c r="CF71" i="32"/>
  <c r="CG71" i="32"/>
  <c r="CH71" i="32"/>
  <c r="CI71" i="32"/>
  <c r="CJ71" i="32"/>
  <c r="CK71" i="32"/>
  <c r="CL71" i="32"/>
  <c r="CM71" i="32"/>
  <c r="CN71" i="32"/>
  <c r="CO71" i="32"/>
  <c r="CP71" i="32"/>
  <c r="CQ71" i="32"/>
  <c r="CR71" i="32"/>
  <c r="CS71" i="32"/>
  <c r="CT71" i="32"/>
  <c r="CU71" i="32"/>
  <c r="CV71" i="32"/>
  <c r="CW71" i="32"/>
  <c r="CX71" i="32"/>
  <c r="CY71" i="32"/>
  <c r="CZ71" i="32"/>
  <c r="DA71" i="32"/>
  <c r="DB71" i="32"/>
  <c r="DC71" i="32"/>
  <c r="DD71" i="32"/>
  <c r="DE71" i="32"/>
  <c r="DF71" i="32"/>
  <c r="DG71" i="32"/>
  <c r="DH71" i="32"/>
  <c r="DI71" i="32"/>
  <c r="DJ71" i="32"/>
  <c r="DK71" i="32"/>
  <c r="DL71" i="32"/>
  <c r="DM71" i="32"/>
  <c r="DN71" i="32"/>
  <c r="DO71" i="32"/>
  <c r="DP71" i="32"/>
  <c r="DQ71" i="32"/>
  <c r="DR71" i="32"/>
  <c r="DS71" i="32"/>
  <c r="DT71" i="32"/>
  <c r="DU71" i="32"/>
  <c r="DV71" i="32"/>
  <c r="DW71" i="32"/>
  <c r="DX71" i="32"/>
  <c r="DY71" i="32"/>
  <c r="DZ71" i="32"/>
  <c r="EA71" i="32"/>
  <c r="EB71" i="32"/>
  <c r="EC71" i="32"/>
  <c r="ED71" i="32"/>
  <c r="EE71" i="32"/>
  <c r="EF71" i="32"/>
  <c r="EG71" i="32"/>
  <c r="EH71" i="32"/>
  <c r="EI71" i="32"/>
  <c r="EJ71" i="32"/>
  <c r="EK71" i="32"/>
  <c r="EL71" i="32"/>
  <c r="EM71" i="32"/>
  <c r="EN71" i="32"/>
  <c r="EO71" i="32"/>
  <c r="EP71" i="32"/>
  <c r="EQ71" i="32"/>
  <c r="ER71" i="32"/>
  <c r="ES71" i="32"/>
  <c r="ET71" i="32"/>
  <c r="EU71" i="32"/>
  <c r="EV71" i="32"/>
  <c r="EW71" i="32"/>
  <c r="EX71" i="32"/>
  <c r="EY71" i="32"/>
  <c r="EZ71" i="32"/>
  <c r="FA71" i="32"/>
  <c r="FB71" i="32"/>
  <c r="FC71" i="32"/>
  <c r="FD71" i="32"/>
  <c r="FE71" i="32"/>
  <c r="FF71" i="32"/>
  <c r="FG71" i="32"/>
  <c r="FH71" i="32"/>
  <c r="FI71" i="32"/>
  <c r="FJ71" i="32"/>
  <c r="FK71" i="32"/>
  <c r="FL71" i="32"/>
  <c r="FM71" i="32"/>
  <c r="FN71" i="32"/>
  <c r="FO71" i="32"/>
  <c r="FP71" i="32"/>
  <c r="FQ71" i="32"/>
  <c r="FR71" i="32"/>
  <c r="FS71" i="32"/>
  <c r="FT71" i="32"/>
  <c r="FU71" i="32"/>
  <c r="FV71" i="32"/>
  <c r="FW71" i="32"/>
  <c r="FX71" i="32"/>
  <c r="FY71" i="32"/>
  <c r="FZ71" i="32"/>
  <c r="GA71" i="32"/>
  <c r="GB71" i="32"/>
  <c r="GC71" i="32"/>
  <c r="GD71" i="32"/>
  <c r="GE71" i="32"/>
  <c r="GF71" i="32"/>
  <c r="GG71" i="32"/>
  <c r="GH71" i="32"/>
  <c r="GI71" i="32"/>
  <c r="GJ71" i="32"/>
  <c r="GK71" i="32"/>
  <c r="GL71" i="32"/>
  <c r="GM71" i="32"/>
  <c r="GN71" i="32"/>
  <c r="GO71" i="32"/>
  <c r="GP71" i="32"/>
  <c r="GQ71" i="32"/>
  <c r="GR71" i="32"/>
  <c r="GS71" i="32"/>
  <c r="GT71" i="32"/>
  <c r="GU71" i="32"/>
  <c r="GV71" i="32"/>
  <c r="GW71" i="32"/>
  <c r="GX71" i="32"/>
  <c r="GY71" i="32"/>
  <c r="GZ71" i="32"/>
  <c r="HA71" i="32"/>
  <c r="HB71" i="32"/>
  <c r="HC71" i="32"/>
  <c r="HD71" i="32"/>
  <c r="HE71" i="32"/>
  <c r="HF71" i="32"/>
  <c r="HG71" i="32"/>
  <c r="HH71" i="32"/>
  <c r="HI71" i="32"/>
  <c r="HJ71" i="32"/>
  <c r="HK71" i="32"/>
  <c r="HL71" i="32"/>
  <c r="HM71" i="32"/>
  <c r="HN71" i="32"/>
  <c r="HO71" i="32"/>
  <c r="HP71" i="32"/>
  <c r="HQ71" i="32"/>
  <c r="HR71" i="32"/>
  <c r="HS71" i="32"/>
  <c r="HT71" i="32"/>
  <c r="HU71" i="32"/>
  <c r="HV71" i="32"/>
  <c r="HW71" i="32"/>
  <c r="HX71" i="32"/>
  <c r="HY71" i="32"/>
  <c r="HZ71" i="32"/>
  <c r="IA71" i="32"/>
  <c r="IB71" i="32"/>
  <c r="IC71" i="32"/>
  <c r="ID71" i="32"/>
  <c r="IE71" i="32"/>
  <c r="IF71" i="32"/>
  <c r="IG71" i="32"/>
  <c r="IH71" i="32"/>
  <c r="II71" i="32"/>
  <c r="IJ71" i="32"/>
  <c r="IK71" i="32"/>
  <c r="IL71" i="32"/>
  <c r="IM71" i="32"/>
  <c r="IN71" i="32"/>
  <c r="IO71" i="32"/>
  <c r="IP71" i="32"/>
  <c r="IQ71" i="32"/>
  <c r="IR71" i="32"/>
  <c r="IS71" i="32"/>
  <c r="IT71" i="32"/>
  <c r="IU71" i="32"/>
  <c r="IV71" i="32"/>
  <c r="A70" i="32"/>
  <c r="B70" i="32"/>
  <c r="C70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P70" i="32"/>
  <c r="Q70" i="32"/>
  <c r="R70" i="32"/>
  <c r="S70" i="32"/>
  <c r="T70" i="32"/>
  <c r="U70" i="32"/>
  <c r="V70" i="32"/>
  <c r="W70" i="32"/>
  <c r="X70" i="32"/>
  <c r="Y70" i="32"/>
  <c r="Z70" i="32"/>
  <c r="AA70" i="32"/>
  <c r="AB70" i="32"/>
  <c r="AC70" i="32"/>
  <c r="AD70" i="32"/>
  <c r="AE70" i="32"/>
  <c r="AF70" i="32"/>
  <c r="AG70" i="32"/>
  <c r="AH70" i="32"/>
  <c r="AI70" i="32"/>
  <c r="AJ70" i="32"/>
  <c r="AK70" i="32"/>
  <c r="AL70" i="32"/>
  <c r="AM70" i="32"/>
  <c r="AN70" i="32"/>
  <c r="AO70" i="32"/>
  <c r="AP70" i="32"/>
  <c r="AQ70" i="32"/>
  <c r="AR70" i="32"/>
  <c r="AS70" i="32"/>
  <c r="AT70" i="32"/>
  <c r="AU70" i="32"/>
  <c r="AV70" i="32"/>
  <c r="AW70" i="32"/>
  <c r="AX70" i="32"/>
  <c r="AY70" i="32"/>
  <c r="AZ70" i="32"/>
  <c r="BA70" i="32"/>
  <c r="BB70" i="32"/>
  <c r="BC70" i="32"/>
  <c r="BD70" i="32"/>
  <c r="BE70" i="32"/>
  <c r="BF70" i="32"/>
  <c r="BG70" i="32"/>
  <c r="BH70" i="32"/>
  <c r="BI70" i="32"/>
  <c r="BJ70" i="32"/>
  <c r="BK70" i="32"/>
  <c r="BL70" i="32"/>
  <c r="BM70" i="32"/>
  <c r="BN70" i="32"/>
  <c r="BO70" i="32"/>
  <c r="BP70" i="32"/>
  <c r="BQ70" i="32"/>
  <c r="BR70" i="32"/>
  <c r="BS70" i="32"/>
  <c r="BT70" i="32"/>
  <c r="BU70" i="32"/>
  <c r="BV70" i="32"/>
  <c r="BW70" i="32"/>
  <c r="BX70" i="32"/>
  <c r="BY70" i="32"/>
  <c r="BZ70" i="32"/>
  <c r="CA70" i="32"/>
  <c r="CB70" i="32"/>
  <c r="CC70" i="32"/>
  <c r="CD70" i="32"/>
  <c r="CE70" i="32"/>
  <c r="CF70" i="32"/>
  <c r="CG70" i="32"/>
  <c r="CH70" i="32"/>
  <c r="CI70" i="32"/>
  <c r="CJ70" i="32"/>
  <c r="CK70" i="32"/>
  <c r="CL70" i="32"/>
  <c r="CM70" i="32"/>
  <c r="CN70" i="32"/>
  <c r="CO70" i="32"/>
  <c r="CP70" i="32"/>
  <c r="CQ70" i="32"/>
  <c r="CR70" i="32"/>
  <c r="CS70" i="32"/>
  <c r="CT70" i="32"/>
  <c r="CU70" i="32"/>
  <c r="CV70" i="32"/>
  <c r="CW70" i="32"/>
  <c r="CX70" i="32"/>
  <c r="CY70" i="32"/>
  <c r="CZ70" i="32"/>
  <c r="DA70" i="32"/>
  <c r="DB70" i="32"/>
  <c r="DC70" i="32"/>
  <c r="DD70" i="32"/>
  <c r="DE70" i="32"/>
  <c r="DF70" i="32"/>
  <c r="DG70" i="32"/>
  <c r="DH70" i="32"/>
  <c r="DI70" i="32"/>
  <c r="DJ70" i="32"/>
  <c r="DK70" i="32"/>
  <c r="DL70" i="32"/>
  <c r="DM70" i="32"/>
  <c r="DN70" i="32"/>
  <c r="DO70" i="32"/>
  <c r="DP70" i="32"/>
  <c r="DQ70" i="32"/>
  <c r="DR70" i="32"/>
  <c r="DS70" i="32"/>
  <c r="DT70" i="32"/>
  <c r="DU70" i="32"/>
  <c r="DV70" i="32"/>
  <c r="DW70" i="32"/>
  <c r="DX70" i="32"/>
  <c r="DY70" i="32"/>
  <c r="DZ70" i="32"/>
  <c r="EA70" i="32"/>
  <c r="EB70" i="32"/>
  <c r="EC70" i="32"/>
  <c r="ED70" i="32"/>
  <c r="EE70" i="32"/>
  <c r="EF70" i="32"/>
  <c r="EG70" i="32"/>
  <c r="EH70" i="32"/>
  <c r="EI70" i="32"/>
  <c r="EJ70" i="32"/>
  <c r="EK70" i="32"/>
  <c r="EL70" i="32"/>
  <c r="EM70" i="32"/>
  <c r="EN70" i="32"/>
  <c r="EO70" i="32"/>
  <c r="EP70" i="32"/>
  <c r="EQ70" i="32"/>
  <c r="ER70" i="32"/>
  <c r="ES70" i="32"/>
  <c r="ET70" i="32"/>
  <c r="EU70" i="32"/>
  <c r="EV70" i="32"/>
  <c r="EW70" i="32"/>
  <c r="EX70" i="32"/>
  <c r="EY70" i="32"/>
  <c r="EZ70" i="32"/>
  <c r="FA70" i="32"/>
  <c r="FB70" i="32"/>
  <c r="FC70" i="32"/>
  <c r="FD70" i="32"/>
  <c r="FE70" i="32"/>
  <c r="FF70" i="32"/>
  <c r="FG70" i="32"/>
  <c r="FH70" i="32"/>
  <c r="FI70" i="32"/>
  <c r="FJ70" i="32"/>
  <c r="FK70" i="32"/>
  <c r="FL70" i="32"/>
  <c r="FM70" i="32"/>
  <c r="FN70" i="32"/>
  <c r="FO70" i="32"/>
  <c r="FP70" i="32"/>
  <c r="FQ70" i="32"/>
  <c r="FR70" i="32"/>
  <c r="FS70" i="32"/>
  <c r="FT70" i="32"/>
  <c r="FU70" i="32"/>
  <c r="FV70" i="32"/>
  <c r="FW70" i="32"/>
  <c r="FX70" i="32"/>
  <c r="FY70" i="32"/>
  <c r="FZ70" i="32"/>
  <c r="GA70" i="32"/>
  <c r="GB70" i="32"/>
  <c r="GC70" i="32"/>
  <c r="GD70" i="32"/>
  <c r="GE70" i="32"/>
  <c r="GF70" i="32"/>
  <c r="GG70" i="32"/>
  <c r="GH70" i="32"/>
  <c r="GI70" i="32"/>
  <c r="GJ70" i="32"/>
  <c r="GK70" i="32"/>
  <c r="GL70" i="32"/>
  <c r="GM70" i="32"/>
  <c r="GN70" i="32"/>
  <c r="GO70" i="32"/>
  <c r="GP70" i="32"/>
  <c r="GQ70" i="32"/>
  <c r="GR70" i="32"/>
  <c r="GS70" i="32"/>
  <c r="GT70" i="32"/>
  <c r="GU70" i="32"/>
  <c r="GV70" i="32"/>
  <c r="GW70" i="32"/>
  <c r="GX70" i="32"/>
  <c r="GY70" i="32"/>
  <c r="GZ70" i="32"/>
  <c r="HA70" i="32"/>
  <c r="HB70" i="32"/>
  <c r="HC70" i="32"/>
  <c r="HD70" i="32"/>
  <c r="HE70" i="32"/>
  <c r="HF70" i="32"/>
  <c r="HG70" i="32"/>
  <c r="HH70" i="32"/>
  <c r="HI70" i="32"/>
  <c r="HJ70" i="32"/>
  <c r="HK70" i="32"/>
  <c r="HL70" i="32"/>
  <c r="HM70" i="32"/>
  <c r="HN70" i="32"/>
  <c r="HO70" i="32"/>
  <c r="HP70" i="32"/>
  <c r="HQ70" i="32"/>
  <c r="HR70" i="32"/>
  <c r="HS70" i="32"/>
  <c r="HT70" i="32"/>
  <c r="HU70" i="32"/>
  <c r="HV70" i="32"/>
  <c r="HW70" i="32"/>
  <c r="HX70" i="32"/>
  <c r="HY70" i="32"/>
  <c r="HZ70" i="32"/>
  <c r="IA70" i="32"/>
  <c r="IB70" i="32"/>
  <c r="IC70" i="32"/>
  <c r="ID70" i="32"/>
  <c r="IE70" i="32"/>
  <c r="IF70" i="32"/>
  <c r="IG70" i="32"/>
  <c r="IH70" i="32"/>
  <c r="II70" i="32"/>
  <c r="IJ70" i="32"/>
  <c r="IK70" i="32"/>
  <c r="IL70" i="32"/>
  <c r="IM70" i="32"/>
  <c r="IN70" i="32"/>
  <c r="IO70" i="32"/>
  <c r="IP70" i="32"/>
  <c r="IQ70" i="32"/>
  <c r="IR70" i="32"/>
  <c r="IS70" i="32"/>
  <c r="IT70" i="32"/>
  <c r="IU70" i="32"/>
  <c r="IV70" i="32"/>
  <c r="A69" i="32"/>
  <c r="B69" i="32"/>
  <c r="C69" i="32"/>
  <c r="D69" i="32"/>
  <c r="E69" i="32"/>
  <c r="F69" i="32"/>
  <c r="G69" i="32"/>
  <c r="H69" i="32"/>
  <c r="I69" i="32"/>
  <c r="J69" i="32"/>
  <c r="K69" i="32"/>
  <c r="L69" i="32"/>
  <c r="M69" i="32"/>
  <c r="N69" i="32"/>
  <c r="O69" i="32"/>
  <c r="P69" i="32"/>
  <c r="Q69" i="32"/>
  <c r="R69" i="32"/>
  <c r="S69" i="32"/>
  <c r="T69" i="32"/>
  <c r="U69" i="32"/>
  <c r="V69" i="32"/>
  <c r="W69" i="32"/>
  <c r="X69" i="32"/>
  <c r="Y69" i="32"/>
  <c r="Z69" i="32"/>
  <c r="AA69" i="32"/>
  <c r="AB69" i="32"/>
  <c r="AC69" i="32"/>
  <c r="AD69" i="32"/>
  <c r="AE69" i="32"/>
  <c r="AF69" i="32"/>
  <c r="AG69" i="32"/>
  <c r="AH69" i="32"/>
  <c r="AI69" i="32"/>
  <c r="AJ69" i="32"/>
  <c r="AK69" i="32"/>
  <c r="AL69" i="32"/>
  <c r="AM69" i="32"/>
  <c r="AN69" i="32"/>
  <c r="AO69" i="32"/>
  <c r="AP69" i="32"/>
  <c r="AQ69" i="32"/>
  <c r="AR69" i="32"/>
  <c r="AS69" i="32"/>
  <c r="AT69" i="32"/>
  <c r="AU69" i="32"/>
  <c r="AV69" i="32"/>
  <c r="AW69" i="32"/>
  <c r="AX69" i="32"/>
  <c r="AY69" i="32"/>
  <c r="AZ69" i="32"/>
  <c r="BA69" i="32"/>
  <c r="BB69" i="32"/>
  <c r="BC69" i="32"/>
  <c r="BD69" i="32"/>
  <c r="BE69" i="32"/>
  <c r="BF69" i="32"/>
  <c r="BG69" i="32"/>
  <c r="BH69" i="32"/>
  <c r="BI69" i="32"/>
  <c r="BJ69" i="32"/>
  <c r="BK69" i="32"/>
  <c r="BL69" i="32"/>
  <c r="BM69" i="32"/>
  <c r="BN69" i="32"/>
  <c r="BO69" i="32"/>
  <c r="BP69" i="32"/>
  <c r="BQ69" i="32"/>
  <c r="BR69" i="32"/>
  <c r="BS69" i="32"/>
  <c r="BT69" i="32"/>
  <c r="BU69" i="32"/>
  <c r="BV69" i="32"/>
  <c r="BW69" i="32"/>
  <c r="BX69" i="32"/>
  <c r="BY69" i="32"/>
  <c r="BZ69" i="32"/>
  <c r="CA69" i="32"/>
  <c r="CB69" i="32"/>
  <c r="CC69" i="32"/>
  <c r="CD69" i="32"/>
  <c r="CE69" i="32"/>
  <c r="CF69" i="32"/>
  <c r="CG69" i="32"/>
  <c r="CH69" i="32"/>
  <c r="CI69" i="32"/>
  <c r="CJ69" i="32"/>
  <c r="CK69" i="32"/>
  <c r="CL69" i="32"/>
  <c r="CM69" i="32"/>
  <c r="CN69" i="32"/>
  <c r="CO69" i="32"/>
  <c r="CP69" i="32"/>
  <c r="CQ69" i="32"/>
  <c r="CR69" i="32"/>
  <c r="CS69" i="32"/>
  <c r="CT69" i="32"/>
  <c r="CU69" i="32"/>
  <c r="CV69" i="32"/>
  <c r="CW69" i="32"/>
  <c r="CX69" i="32"/>
  <c r="CY69" i="32"/>
  <c r="CZ69" i="32"/>
  <c r="DA69" i="32"/>
  <c r="DB69" i="32"/>
  <c r="DC69" i="32"/>
  <c r="DD69" i="32"/>
  <c r="DE69" i="32"/>
  <c r="DF69" i="32"/>
  <c r="DG69" i="32"/>
  <c r="DH69" i="32"/>
  <c r="DI69" i="32"/>
  <c r="DJ69" i="32"/>
  <c r="DK69" i="32"/>
  <c r="DL69" i="32"/>
  <c r="DM69" i="32"/>
  <c r="DN69" i="32"/>
  <c r="DO69" i="32"/>
  <c r="DP69" i="32"/>
  <c r="DQ69" i="32"/>
  <c r="DR69" i="32"/>
  <c r="DS69" i="32"/>
  <c r="DT69" i="32"/>
  <c r="DU69" i="32"/>
  <c r="DV69" i="32"/>
  <c r="DW69" i="32"/>
  <c r="DX69" i="32"/>
  <c r="DY69" i="32"/>
  <c r="DZ69" i="32"/>
  <c r="EA69" i="32"/>
  <c r="EB69" i="32"/>
  <c r="EC69" i="32"/>
  <c r="ED69" i="32"/>
  <c r="EE69" i="32"/>
  <c r="EF69" i="32"/>
  <c r="EG69" i="32"/>
  <c r="EH69" i="32"/>
  <c r="EI69" i="32"/>
  <c r="EJ69" i="32"/>
  <c r="EK69" i="32"/>
  <c r="EL69" i="32"/>
  <c r="EM69" i="32"/>
  <c r="EN69" i="32"/>
  <c r="EO69" i="32"/>
  <c r="EP69" i="32"/>
  <c r="EQ69" i="32"/>
  <c r="ER69" i="32"/>
  <c r="ES69" i="32"/>
  <c r="ET69" i="32"/>
  <c r="EU69" i="32"/>
  <c r="EV69" i="32"/>
  <c r="EW69" i="32"/>
  <c r="EX69" i="32"/>
  <c r="EY69" i="32"/>
  <c r="EZ69" i="32"/>
  <c r="FA69" i="32"/>
  <c r="FB69" i="32"/>
  <c r="FC69" i="32"/>
  <c r="FD69" i="32"/>
  <c r="FE69" i="32"/>
  <c r="FF69" i="32"/>
  <c r="FG69" i="32"/>
  <c r="FH69" i="32"/>
  <c r="FI69" i="32"/>
  <c r="FJ69" i="32"/>
  <c r="FK69" i="32"/>
  <c r="FL69" i="32"/>
  <c r="FM69" i="32"/>
  <c r="FN69" i="32"/>
  <c r="FO69" i="32"/>
  <c r="FP69" i="32"/>
  <c r="FQ69" i="32"/>
  <c r="FR69" i="32"/>
  <c r="FS69" i="32"/>
  <c r="FT69" i="32"/>
  <c r="FU69" i="32"/>
  <c r="FV69" i="32"/>
  <c r="FW69" i="32"/>
  <c r="FX69" i="32"/>
  <c r="FY69" i="32"/>
  <c r="FZ69" i="32"/>
  <c r="GA69" i="32"/>
  <c r="GB69" i="32"/>
  <c r="GC69" i="32"/>
  <c r="GD69" i="32"/>
  <c r="GE69" i="32"/>
  <c r="GF69" i="32"/>
  <c r="GG69" i="32"/>
  <c r="GH69" i="32"/>
  <c r="GI69" i="32"/>
  <c r="GJ69" i="32"/>
  <c r="GK69" i="32"/>
  <c r="GL69" i="32"/>
  <c r="GM69" i="32"/>
  <c r="GN69" i="32"/>
  <c r="GO69" i="32"/>
  <c r="GP69" i="32"/>
  <c r="GQ69" i="32"/>
  <c r="GR69" i="32"/>
  <c r="GS69" i="32"/>
  <c r="GT69" i="32"/>
  <c r="GU69" i="32"/>
  <c r="GV69" i="32"/>
  <c r="GW69" i="32"/>
  <c r="GX69" i="32"/>
  <c r="GY69" i="32"/>
  <c r="GZ69" i="32"/>
  <c r="HA69" i="32"/>
  <c r="HB69" i="32"/>
  <c r="HC69" i="32"/>
  <c r="HD69" i="32"/>
  <c r="HE69" i="32"/>
  <c r="HF69" i="32"/>
  <c r="HG69" i="32"/>
  <c r="HH69" i="32"/>
  <c r="HI69" i="32"/>
  <c r="HJ69" i="32"/>
  <c r="HK69" i="32"/>
  <c r="HL69" i="32"/>
  <c r="HM69" i="32"/>
  <c r="HN69" i="32"/>
  <c r="HO69" i="32"/>
  <c r="HP69" i="32"/>
  <c r="HQ69" i="32"/>
  <c r="HR69" i="32"/>
  <c r="HS69" i="32"/>
  <c r="HT69" i="32"/>
  <c r="HU69" i="32"/>
  <c r="HV69" i="32"/>
  <c r="HW69" i="32"/>
  <c r="HX69" i="32"/>
  <c r="HY69" i="32"/>
  <c r="HZ69" i="32"/>
  <c r="IA69" i="32"/>
  <c r="IB69" i="32"/>
  <c r="IC69" i="32"/>
  <c r="ID69" i="32"/>
  <c r="IE69" i="32"/>
  <c r="IF69" i="32"/>
  <c r="IG69" i="32"/>
  <c r="IH69" i="32"/>
  <c r="II69" i="32"/>
  <c r="IJ69" i="32"/>
  <c r="IK69" i="32"/>
  <c r="IL69" i="32"/>
  <c r="IM69" i="32"/>
  <c r="IN69" i="32"/>
  <c r="IO69" i="32"/>
  <c r="IP69" i="32"/>
  <c r="IQ69" i="32"/>
  <c r="IR69" i="32"/>
  <c r="IS69" i="32"/>
  <c r="IT69" i="32"/>
  <c r="IU69" i="32"/>
  <c r="IV69" i="32"/>
  <c r="A68" i="32"/>
  <c r="B68" i="32"/>
  <c r="C68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P68" i="32"/>
  <c r="Q68" i="32"/>
  <c r="R68" i="32"/>
  <c r="S68" i="32"/>
  <c r="T68" i="32"/>
  <c r="U68" i="32"/>
  <c r="V68" i="32"/>
  <c r="W68" i="32"/>
  <c r="X68" i="32"/>
  <c r="Y68" i="32"/>
  <c r="Z68" i="32"/>
  <c r="AA68" i="32"/>
  <c r="AB68" i="32"/>
  <c r="AC68" i="32"/>
  <c r="AD68" i="32"/>
  <c r="AE68" i="32"/>
  <c r="AF68" i="32"/>
  <c r="AG68" i="32"/>
  <c r="AH68" i="32"/>
  <c r="AI68" i="32"/>
  <c r="AJ68" i="32"/>
  <c r="AK68" i="32"/>
  <c r="AL68" i="32"/>
  <c r="AM68" i="32"/>
  <c r="AN68" i="32"/>
  <c r="AO68" i="32"/>
  <c r="AP68" i="32"/>
  <c r="AQ68" i="32"/>
  <c r="AR68" i="32"/>
  <c r="AS68" i="32"/>
  <c r="AT68" i="32"/>
  <c r="AU68" i="32"/>
  <c r="AV68" i="32"/>
  <c r="AW68" i="32"/>
  <c r="AX68" i="32"/>
  <c r="AY68" i="32"/>
  <c r="AZ68" i="32"/>
  <c r="BA68" i="32"/>
  <c r="BB68" i="32"/>
  <c r="BC68" i="32"/>
  <c r="BD68" i="32"/>
  <c r="BE68" i="32"/>
  <c r="BF68" i="32"/>
  <c r="BG68" i="32"/>
  <c r="BH68" i="32"/>
  <c r="BI68" i="32"/>
  <c r="BJ68" i="32"/>
  <c r="BK68" i="32"/>
  <c r="BL68" i="32"/>
  <c r="BM68" i="32"/>
  <c r="BN68" i="32"/>
  <c r="BO68" i="32"/>
  <c r="BP68" i="32"/>
  <c r="BQ68" i="32"/>
  <c r="BR68" i="32"/>
  <c r="BS68" i="32"/>
  <c r="BT68" i="32"/>
  <c r="BU68" i="32"/>
  <c r="BV68" i="32"/>
  <c r="BW68" i="32"/>
  <c r="BX68" i="32"/>
  <c r="BY68" i="32"/>
  <c r="BZ68" i="32"/>
  <c r="CA68" i="32"/>
  <c r="CB68" i="32"/>
  <c r="CC68" i="32"/>
  <c r="CD68" i="32"/>
  <c r="CE68" i="32"/>
  <c r="CF68" i="32"/>
  <c r="CG68" i="32"/>
  <c r="CH68" i="32"/>
  <c r="CI68" i="32"/>
  <c r="CJ68" i="32"/>
  <c r="CK68" i="32"/>
  <c r="CL68" i="32"/>
  <c r="CM68" i="32"/>
  <c r="CN68" i="32"/>
  <c r="CO68" i="32"/>
  <c r="CP68" i="32"/>
  <c r="CQ68" i="32"/>
  <c r="CR68" i="32"/>
  <c r="CS68" i="32"/>
  <c r="CT68" i="32"/>
  <c r="CU68" i="32"/>
  <c r="CV68" i="32"/>
  <c r="CW68" i="32"/>
  <c r="CX68" i="32"/>
  <c r="CY68" i="32"/>
  <c r="CZ68" i="32"/>
  <c r="DA68" i="32"/>
  <c r="DB68" i="32"/>
  <c r="DC68" i="32"/>
  <c r="DD68" i="32"/>
  <c r="DE68" i="32"/>
  <c r="DF68" i="32"/>
  <c r="DG68" i="32"/>
  <c r="DH68" i="32"/>
  <c r="DI68" i="32"/>
  <c r="DJ68" i="32"/>
  <c r="DK68" i="32"/>
  <c r="DL68" i="32"/>
  <c r="DM68" i="32"/>
  <c r="DN68" i="32"/>
  <c r="DO68" i="32"/>
  <c r="DP68" i="32"/>
  <c r="DQ68" i="32"/>
  <c r="DR68" i="32"/>
  <c r="DS68" i="32"/>
  <c r="DT68" i="32"/>
  <c r="DU68" i="32"/>
  <c r="DV68" i="32"/>
  <c r="DW68" i="32"/>
  <c r="DX68" i="32"/>
  <c r="DY68" i="32"/>
  <c r="DZ68" i="32"/>
  <c r="EA68" i="32"/>
  <c r="EB68" i="32"/>
  <c r="EC68" i="32"/>
  <c r="ED68" i="32"/>
  <c r="EE68" i="32"/>
  <c r="EF68" i="32"/>
  <c r="EG68" i="32"/>
  <c r="EH68" i="32"/>
  <c r="EI68" i="32"/>
  <c r="EJ68" i="32"/>
  <c r="EK68" i="32"/>
  <c r="EL68" i="32"/>
  <c r="EM68" i="32"/>
  <c r="EN68" i="32"/>
  <c r="EO68" i="32"/>
  <c r="EP68" i="32"/>
  <c r="EQ68" i="32"/>
  <c r="ER68" i="32"/>
  <c r="ES68" i="32"/>
  <c r="ET68" i="32"/>
  <c r="EU68" i="32"/>
  <c r="EV68" i="32"/>
  <c r="EW68" i="32"/>
  <c r="EX68" i="32"/>
  <c r="EY68" i="32"/>
  <c r="EZ68" i="32"/>
  <c r="FA68" i="32"/>
  <c r="FB68" i="32"/>
  <c r="FC68" i="32"/>
  <c r="FD68" i="32"/>
  <c r="FE68" i="32"/>
  <c r="FF68" i="32"/>
  <c r="FG68" i="32"/>
  <c r="FH68" i="32"/>
  <c r="FI68" i="32"/>
  <c r="FJ68" i="32"/>
  <c r="FK68" i="32"/>
  <c r="FL68" i="32"/>
  <c r="FM68" i="32"/>
  <c r="FN68" i="32"/>
  <c r="FO68" i="32"/>
  <c r="FP68" i="32"/>
  <c r="FQ68" i="32"/>
  <c r="FR68" i="32"/>
  <c r="FS68" i="32"/>
  <c r="FT68" i="32"/>
  <c r="FU68" i="32"/>
  <c r="FV68" i="32"/>
  <c r="FW68" i="32"/>
  <c r="FX68" i="32"/>
  <c r="FY68" i="32"/>
  <c r="FZ68" i="32"/>
  <c r="GA68" i="32"/>
  <c r="GB68" i="32"/>
  <c r="GC68" i="32"/>
  <c r="GD68" i="32"/>
  <c r="GE68" i="32"/>
  <c r="GF68" i="32"/>
  <c r="GG68" i="32"/>
  <c r="GH68" i="32"/>
  <c r="GI68" i="32"/>
  <c r="GJ68" i="32"/>
  <c r="GK68" i="32"/>
  <c r="GL68" i="32"/>
  <c r="GM68" i="32"/>
  <c r="GN68" i="32"/>
  <c r="GO68" i="32"/>
  <c r="GP68" i="32"/>
  <c r="GQ68" i="32"/>
  <c r="GR68" i="32"/>
  <c r="GS68" i="32"/>
  <c r="GT68" i="32"/>
  <c r="GU68" i="32"/>
  <c r="GV68" i="32"/>
  <c r="GW68" i="32"/>
  <c r="GX68" i="32"/>
  <c r="GY68" i="32"/>
  <c r="GZ68" i="32"/>
  <c r="HA68" i="32"/>
  <c r="HB68" i="32"/>
  <c r="HC68" i="32"/>
  <c r="HD68" i="32"/>
  <c r="HE68" i="32"/>
  <c r="HF68" i="32"/>
  <c r="HG68" i="32"/>
  <c r="HH68" i="32"/>
  <c r="HI68" i="32"/>
  <c r="HJ68" i="32"/>
  <c r="HK68" i="32"/>
  <c r="HL68" i="32"/>
  <c r="HM68" i="32"/>
  <c r="HN68" i="32"/>
  <c r="HO68" i="32"/>
  <c r="HP68" i="32"/>
  <c r="HQ68" i="32"/>
  <c r="HR68" i="32"/>
  <c r="HS68" i="32"/>
  <c r="HT68" i="32"/>
  <c r="HU68" i="32"/>
  <c r="HV68" i="32"/>
  <c r="HW68" i="32"/>
  <c r="HX68" i="32"/>
  <c r="HY68" i="32"/>
  <c r="HZ68" i="32"/>
  <c r="IA68" i="32"/>
  <c r="IB68" i="32"/>
  <c r="IC68" i="32"/>
  <c r="ID68" i="32"/>
  <c r="IE68" i="32"/>
  <c r="IF68" i="32"/>
  <c r="IG68" i="32"/>
  <c r="IH68" i="32"/>
  <c r="II68" i="32"/>
  <c r="IJ68" i="32"/>
  <c r="IK68" i="32"/>
  <c r="IL68" i="32"/>
  <c r="IM68" i="32"/>
  <c r="IN68" i="32"/>
  <c r="IO68" i="32"/>
  <c r="IP68" i="32"/>
  <c r="IQ68" i="32"/>
  <c r="IR68" i="32"/>
  <c r="IS68" i="32"/>
  <c r="IT68" i="32"/>
  <c r="IU68" i="32"/>
  <c r="IV68" i="32"/>
  <c r="A67" i="32"/>
  <c r="B67" i="32"/>
  <c r="C67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P67" i="32"/>
  <c r="Q67" i="32"/>
  <c r="R67" i="32"/>
  <c r="S67" i="32"/>
  <c r="T67" i="32"/>
  <c r="U67" i="32"/>
  <c r="V67" i="32"/>
  <c r="W67" i="32"/>
  <c r="X67" i="32"/>
  <c r="Y67" i="32"/>
  <c r="Z67" i="32"/>
  <c r="AA67" i="32"/>
  <c r="AB67" i="32"/>
  <c r="AC67" i="32"/>
  <c r="AD67" i="32"/>
  <c r="AE67" i="32"/>
  <c r="AF67" i="32"/>
  <c r="AG67" i="32"/>
  <c r="AH67" i="32"/>
  <c r="AI67" i="32"/>
  <c r="AJ67" i="32"/>
  <c r="AK67" i="32"/>
  <c r="AL67" i="32"/>
  <c r="AM67" i="32"/>
  <c r="AN67" i="32"/>
  <c r="AO67" i="32"/>
  <c r="AP67" i="32"/>
  <c r="AQ67" i="32"/>
  <c r="AR67" i="32"/>
  <c r="AS67" i="32"/>
  <c r="AT67" i="32"/>
  <c r="AU67" i="32"/>
  <c r="AV67" i="32"/>
  <c r="AW67" i="32"/>
  <c r="AX67" i="32"/>
  <c r="AY67" i="32"/>
  <c r="AZ67" i="32"/>
  <c r="BA67" i="32"/>
  <c r="BB67" i="32"/>
  <c r="BC67" i="32"/>
  <c r="BD67" i="32"/>
  <c r="BE67" i="32"/>
  <c r="BF67" i="32"/>
  <c r="BG67" i="32"/>
  <c r="BH67" i="32"/>
  <c r="BI67" i="32"/>
  <c r="BJ67" i="32"/>
  <c r="BK67" i="32"/>
  <c r="BL67" i="32"/>
  <c r="BM67" i="32"/>
  <c r="BN67" i="32"/>
  <c r="BO67" i="32"/>
  <c r="BP67" i="32"/>
  <c r="BQ67" i="32"/>
  <c r="BR67" i="32"/>
  <c r="BS67" i="32"/>
  <c r="BT67" i="32"/>
  <c r="BU67" i="32"/>
  <c r="BV67" i="32"/>
  <c r="BW67" i="32"/>
  <c r="BX67" i="32"/>
  <c r="BY67" i="32"/>
  <c r="BZ67" i="32"/>
  <c r="CA67" i="32"/>
  <c r="CB67" i="32"/>
  <c r="CC67" i="32"/>
  <c r="CD67" i="32"/>
  <c r="CE67" i="32"/>
  <c r="CF67" i="32"/>
  <c r="CG67" i="32"/>
  <c r="CH67" i="32"/>
  <c r="CI67" i="32"/>
  <c r="CJ67" i="32"/>
  <c r="CK67" i="32"/>
  <c r="CL67" i="32"/>
  <c r="CM67" i="32"/>
  <c r="CN67" i="32"/>
  <c r="CO67" i="32"/>
  <c r="CP67" i="32"/>
  <c r="CQ67" i="32"/>
  <c r="CR67" i="32"/>
  <c r="CS67" i="32"/>
  <c r="CT67" i="32"/>
  <c r="CU67" i="32"/>
  <c r="CV67" i="32"/>
  <c r="CW67" i="32"/>
  <c r="CX67" i="32"/>
  <c r="CY67" i="32"/>
  <c r="CZ67" i="32"/>
  <c r="DA67" i="32"/>
  <c r="DB67" i="32"/>
  <c r="DC67" i="32"/>
  <c r="DD67" i="32"/>
  <c r="DE67" i="32"/>
  <c r="DF67" i="32"/>
  <c r="DG67" i="32"/>
  <c r="DH67" i="32"/>
  <c r="DI67" i="32"/>
  <c r="DJ67" i="32"/>
  <c r="DK67" i="32"/>
  <c r="DL67" i="32"/>
  <c r="DM67" i="32"/>
  <c r="DN67" i="32"/>
  <c r="DO67" i="32"/>
  <c r="DP67" i="32"/>
  <c r="DQ67" i="32"/>
  <c r="DR67" i="32"/>
  <c r="DS67" i="32"/>
  <c r="DT67" i="32"/>
  <c r="DU67" i="32"/>
  <c r="DV67" i="32"/>
  <c r="DW67" i="32"/>
  <c r="DX67" i="32"/>
  <c r="DY67" i="32"/>
  <c r="DZ67" i="32"/>
  <c r="EA67" i="32"/>
  <c r="EB67" i="32"/>
  <c r="EC67" i="32"/>
  <c r="ED67" i="32"/>
  <c r="EE67" i="32"/>
  <c r="EF67" i="32"/>
  <c r="EG67" i="32"/>
  <c r="EH67" i="32"/>
  <c r="EI67" i="32"/>
  <c r="EJ67" i="32"/>
  <c r="EK67" i="32"/>
  <c r="EL67" i="32"/>
  <c r="EM67" i="32"/>
  <c r="EN67" i="32"/>
  <c r="EO67" i="32"/>
  <c r="EP67" i="32"/>
  <c r="EQ67" i="32"/>
  <c r="ER67" i="32"/>
  <c r="ES67" i="32"/>
  <c r="ET67" i="32"/>
  <c r="EU67" i="32"/>
  <c r="EV67" i="32"/>
  <c r="EW67" i="32"/>
  <c r="EX67" i="32"/>
  <c r="EY67" i="32"/>
  <c r="EZ67" i="32"/>
  <c r="FA67" i="32"/>
  <c r="FB67" i="32"/>
  <c r="FC67" i="32"/>
  <c r="FD67" i="32"/>
  <c r="FE67" i="32"/>
  <c r="FF67" i="32"/>
  <c r="FG67" i="32"/>
  <c r="FH67" i="32"/>
  <c r="FI67" i="32"/>
  <c r="FJ67" i="32"/>
  <c r="FK67" i="32"/>
  <c r="FL67" i="32"/>
  <c r="FM67" i="32"/>
  <c r="FN67" i="32"/>
  <c r="FO67" i="32"/>
  <c r="FP67" i="32"/>
  <c r="FQ67" i="32"/>
  <c r="FR67" i="32"/>
  <c r="FS67" i="32"/>
  <c r="FT67" i="32"/>
  <c r="FU67" i="32"/>
  <c r="FV67" i="32"/>
  <c r="FW67" i="32"/>
  <c r="FX67" i="32"/>
  <c r="FY67" i="32"/>
  <c r="FZ67" i="32"/>
  <c r="GA67" i="32"/>
  <c r="GB67" i="32"/>
  <c r="GC67" i="32"/>
  <c r="GD67" i="32"/>
  <c r="GE67" i="32"/>
  <c r="GF67" i="32"/>
  <c r="GG67" i="32"/>
  <c r="GH67" i="32"/>
  <c r="GI67" i="32"/>
  <c r="GJ67" i="32"/>
  <c r="GK67" i="32"/>
  <c r="GL67" i="32"/>
  <c r="GM67" i="32"/>
  <c r="GN67" i="32"/>
  <c r="GO67" i="32"/>
  <c r="GP67" i="32"/>
  <c r="GQ67" i="32"/>
  <c r="GR67" i="32"/>
  <c r="GS67" i="32"/>
  <c r="GT67" i="32"/>
  <c r="GU67" i="32"/>
  <c r="GV67" i="32"/>
  <c r="GW67" i="32"/>
  <c r="GX67" i="32"/>
  <c r="GY67" i="32"/>
  <c r="GZ67" i="32"/>
  <c r="HA67" i="32"/>
  <c r="HB67" i="32"/>
  <c r="HC67" i="32"/>
  <c r="HD67" i="32"/>
  <c r="HE67" i="32"/>
  <c r="HF67" i="32"/>
  <c r="HG67" i="32"/>
  <c r="HH67" i="32"/>
  <c r="HI67" i="32"/>
  <c r="HJ67" i="32"/>
  <c r="HK67" i="32"/>
  <c r="HL67" i="32"/>
  <c r="HM67" i="32"/>
  <c r="HN67" i="32"/>
  <c r="HO67" i="32"/>
  <c r="HP67" i="32"/>
  <c r="HQ67" i="32"/>
  <c r="HR67" i="32"/>
  <c r="HS67" i="32"/>
  <c r="HT67" i="32"/>
  <c r="HU67" i="32"/>
  <c r="HV67" i="32"/>
  <c r="HW67" i="32"/>
  <c r="HX67" i="32"/>
  <c r="HY67" i="32"/>
  <c r="HZ67" i="32"/>
  <c r="IA67" i="32"/>
  <c r="IB67" i="32"/>
  <c r="IC67" i="32"/>
  <c r="ID67" i="32"/>
  <c r="IE67" i="32"/>
  <c r="IF67" i="32"/>
  <c r="IG67" i="32"/>
  <c r="IH67" i="32"/>
  <c r="II67" i="32"/>
  <c r="IJ67" i="32"/>
  <c r="IK67" i="32"/>
  <c r="IL67" i="32"/>
  <c r="IM67" i="32"/>
  <c r="IN67" i="32"/>
  <c r="IO67" i="32"/>
  <c r="IP67" i="32"/>
  <c r="IQ67" i="32"/>
  <c r="IR67" i="32"/>
  <c r="IS67" i="32"/>
  <c r="IT67" i="32"/>
  <c r="IU67" i="32"/>
  <c r="IV67" i="32"/>
  <c r="A66" i="32"/>
  <c r="B66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T66" i="32"/>
  <c r="U66" i="32"/>
  <c r="V66" i="32"/>
  <c r="W66" i="32"/>
  <c r="X66" i="32"/>
  <c r="Y66" i="32"/>
  <c r="Z66" i="32"/>
  <c r="AA66" i="32"/>
  <c r="AB66" i="32"/>
  <c r="AC66" i="32"/>
  <c r="AD66" i="32"/>
  <c r="AE66" i="32"/>
  <c r="AF66" i="32"/>
  <c r="AG66" i="32"/>
  <c r="AH66" i="32"/>
  <c r="AI66" i="32"/>
  <c r="AJ66" i="32"/>
  <c r="AK66" i="32"/>
  <c r="AL66" i="32"/>
  <c r="AM66" i="32"/>
  <c r="AN66" i="32"/>
  <c r="AO66" i="32"/>
  <c r="AP66" i="32"/>
  <c r="AQ66" i="32"/>
  <c r="AR66" i="32"/>
  <c r="AS66" i="32"/>
  <c r="AT66" i="32"/>
  <c r="AU66" i="32"/>
  <c r="AV66" i="32"/>
  <c r="AW66" i="32"/>
  <c r="AX66" i="32"/>
  <c r="AY66" i="32"/>
  <c r="AZ66" i="32"/>
  <c r="BA66" i="32"/>
  <c r="BB66" i="32"/>
  <c r="BC66" i="32"/>
  <c r="BD66" i="32"/>
  <c r="BE66" i="32"/>
  <c r="BF66" i="32"/>
  <c r="BG66" i="32"/>
  <c r="BH66" i="32"/>
  <c r="BI66" i="32"/>
  <c r="BJ66" i="32"/>
  <c r="BK66" i="32"/>
  <c r="BL66" i="32"/>
  <c r="BM66" i="32"/>
  <c r="BN66" i="32"/>
  <c r="BO66" i="32"/>
  <c r="BP66" i="32"/>
  <c r="BQ66" i="32"/>
  <c r="BR66" i="32"/>
  <c r="BS66" i="32"/>
  <c r="BT66" i="32"/>
  <c r="BU66" i="32"/>
  <c r="BV66" i="32"/>
  <c r="BW66" i="32"/>
  <c r="BX66" i="32"/>
  <c r="BY66" i="32"/>
  <c r="BZ66" i="32"/>
  <c r="CA66" i="32"/>
  <c r="CB66" i="32"/>
  <c r="CC66" i="32"/>
  <c r="CD66" i="32"/>
  <c r="CE66" i="32"/>
  <c r="CF66" i="32"/>
  <c r="CG66" i="32"/>
  <c r="CH66" i="32"/>
  <c r="CI66" i="32"/>
  <c r="CJ66" i="32"/>
  <c r="CK66" i="32"/>
  <c r="CL66" i="32"/>
  <c r="CM66" i="32"/>
  <c r="CN66" i="32"/>
  <c r="CO66" i="32"/>
  <c r="CP66" i="32"/>
  <c r="CQ66" i="32"/>
  <c r="CR66" i="32"/>
  <c r="CS66" i="32"/>
  <c r="CT66" i="32"/>
  <c r="CU66" i="32"/>
  <c r="CV66" i="32"/>
  <c r="CW66" i="32"/>
  <c r="CX66" i="32"/>
  <c r="CY66" i="32"/>
  <c r="CZ66" i="32"/>
  <c r="DA66" i="32"/>
  <c r="DB66" i="32"/>
  <c r="DC66" i="32"/>
  <c r="DD66" i="32"/>
  <c r="DE66" i="32"/>
  <c r="DF66" i="32"/>
  <c r="DG66" i="32"/>
  <c r="DH66" i="32"/>
  <c r="DI66" i="32"/>
  <c r="DJ66" i="32"/>
  <c r="DK66" i="32"/>
  <c r="DL66" i="32"/>
  <c r="DM66" i="32"/>
  <c r="DN66" i="32"/>
  <c r="DO66" i="32"/>
  <c r="DP66" i="32"/>
  <c r="DQ66" i="32"/>
  <c r="DR66" i="32"/>
  <c r="DS66" i="32"/>
  <c r="DT66" i="32"/>
  <c r="DU66" i="32"/>
  <c r="DV66" i="32"/>
  <c r="DW66" i="32"/>
  <c r="DX66" i="32"/>
  <c r="DY66" i="32"/>
  <c r="DZ66" i="32"/>
  <c r="EA66" i="32"/>
  <c r="EB66" i="32"/>
  <c r="EC66" i="32"/>
  <c r="ED66" i="32"/>
  <c r="EE66" i="32"/>
  <c r="EF66" i="32"/>
  <c r="EG66" i="32"/>
  <c r="EH66" i="32"/>
  <c r="EI66" i="32"/>
  <c r="EJ66" i="32"/>
  <c r="EK66" i="32"/>
  <c r="EL66" i="32"/>
  <c r="EM66" i="32"/>
  <c r="EN66" i="32"/>
  <c r="EO66" i="32"/>
  <c r="EP66" i="32"/>
  <c r="EQ66" i="32"/>
  <c r="ER66" i="32"/>
  <c r="ES66" i="32"/>
  <c r="ET66" i="32"/>
  <c r="EU66" i="32"/>
  <c r="EV66" i="32"/>
  <c r="EW66" i="32"/>
  <c r="EX66" i="32"/>
  <c r="EY66" i="32"/>
  <c r="EZ66" i="32"/>
  <c r="FA66" i="32"/>
  <c r="FB66" i="32"/>
  <c r="FC66" i="32"/>
  <c r="FD66" i="32"/>
  <c r="FE66" i="32"/>
  <c r="FF66" i="32"/>
  <c r="FG66" i="32"/>
  <c r="FH66" i="32"/>
  <c r="FI66" i="32"/>
  <c r="FJ66" i="32"/>
  <c r="FK66" i="32"/>
  <c r="FL66" i="32"/>
  <c r="FM66" i="32"/>
  <c r="FN66" i="32"/>
  <c r="FO66" i="32"/>
  <c r="FP66" i="32"/>
  <c r="FQ66" i="32"/>
  <c r="FR66" i="32"/>
  <c r="FS66" i="32"/>
  <c r="FT66" i="32"/>
  <c r="FU66" i="32"/>
  <c r="FV66" i="32"/>
  <c r="FW66" i="32"/>
  <c r="FX66" i="32"/>
  <c r="FY66" i="32"/>
  <c r="FZ66" i="32"/>
  <c r="GA66" i="32"/>
  <c r="GB66" i="32"/>
  <c r="GC66" i="32"/>
  <c r="GD66" i="32"/>
  <c r="GE66" i="32"/>
  <c r="GF66" i="32"/>
  <c r="GG66" i="32"/>
  <c r="GH66" i="32"/>
  <c r="GI66" i="32"/>
  <c r="GJ66" i="32"/>
  <c r="GK66" i="32"/>
  <c r="GL66" i="32"/>
  <c r="GM66" i="32"/>
  <c r="GN66" i="32"/>
  <c r="GO66" i="32"/>
  <c r="GP66" i="32"/>
  <c r="GQ66" i="32"/>
  <c r="GR66" i="32"/>
  <c r="GS66" i="32"/>
  <c r="GT66" i="32"/>
  <c r="GU66" i="32"/>
  <c r="GV66" i="32"/>
  <c r="GW66" i="32"/>
  <c r="GX66" i="32"/>
  <c r="GY66" i="32"/>
  <c r="GZ66" i="32"/>
  <c r="HA66" i="32"/>
  <c r="HB66" i="32"/>
  <c r="HC66" i="32"/>
  <c r="HD66" i="32"/>
  <c r="HE66" i="32"/>
  <c r="HF66" i="32"/>
  <c r="HG66" i="32"/>
  <c r="HH66" i="32"/>
  <c r="HI66" i="32"/>
  <c r="HJ66" i="32"/>
  <c r="HK66" i="32"/>
  <c r="HL66" i="32"/>
  <c r="HM66" i="32"/>
  <c r="HN66" i="32"/>
  <c r="HO66" i="32"/>
  <c r="HP66" i="32"/>
  <c r="HQ66" i="32"/>
  <c r="HR66" i="32"/>
  <c r="HS66" i="32"/>
  <c r="HT66" i="32"/>
  <c r="HU66" i="32"/>
  <c r="HV66" i="32"/>
  <c r="HW66" i="32"/>
  <c r="HX66" i="32"/>
  <c r="HY66" i="32"/>
  <c r="HZ66" i="32"/>
  <c r="IA66" i="32"/>
  <c r="IB66" i="32"/>
  <c r="IC66" i="32"/>
  <c r="ID66" i="32"/>
  <c r="IE66" i="32"/>
  <c r="IF66" i="32"/>
  <c r="IG66" i="32"/>
  <c r="IH66" i="32"/>
  <c r="II66" i="32"/>
  <c r="IJ66" i="32"/>
  <c r="IK66" i="32"/>
  <c r="IL66" i="32"/>
  <c r="IM66" i="32"/>
  <c r="IN66" i="32"/>
  <c r="IO66" i="32"/>
  <c r="IP66" i="32"/>
  <c r="IQ66" i="32"/>
  <c r="IR66" i="32"/>
  <c r="IS66" i="32"/>
  <c r="IT66" i="32"/>
  <c r="IU66" i="32"/>
  <c r="IV66" i="32"/>
  <c r="A65" i="32"/>
  <c r="B65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P65" i="32"/>
  <c r="Q65" i="32"/>
  <c r="R65" i="32"/>
  <c r="S65" i="32"/>
  <c r="T65" i="32"/>
  <c r="U65" i="32"/>
  <c r="V65" i="32"/>
  <c r="W65" i="32"/>
  <c r="X65" i="32"/>
  <c r="Y65" i="32"/>
  <c r="Z65" i="32"/>
  <c r="AA65" i="32"/>
  <c r="AB65" i="32"/>
  <c r="AC65" i="32"/>
  <c r="AD65" i="32"/>
  <c r="AE65" i="32"/>
  <c r="AF65" i="32"/>
  <c r="AG65" i="32"/>
  <c r="AH65" i="32"/>
  <c r="AI65" i="32"/>
  <c r="AJ65" i="32"/>
  <c r="AK65" i="32"/>
  <c r="AL65" i="32"/>
  <c r="AM65" i="32"/>
  <c r="AN65" i="32"/>
  <c r="AO65" i="32"/>
  <c r="AP65" i="32"/>
  <c r="AQ65" i="32"/>
  <c r="AR65" i="32"/>
  <c r="AS65" i="32"/>
  <c r="AT65" i="32"/>
  <c r="AU65" i="32"/>
  <c r="AV65" i="32"/>
  <c r="AW65" i="32"/>
  <c r="AX65" i="32"/>
  <c r="AY65" i="32"/>
  <c r="AZ65" i="32"/>
  <c r="BA65" i="32"/>
  <c r="BB65" i="32"/>
  <c r="BC65" i="32"/>
  <c r="BD65" i="32"/>
  <c r="BE65" i="32"/>
  <c r="BF65" i="32"/>
  <c r="BG65" i="32"/>
  <c r="BH65" i="32"/>
  <c r="BI65" i="32"/>
  <c r="BJ65" i="32"/>
  <c r="BK65" i="32"/>
  <c r="BL65" i="32"/>
  <c r="BM65" i="32"/>
  <c r="BN65" i="32"/>
  <c r="BO65" i="32"/>
  <c r="BP65" i="32"/>
  <c r="BQ65" i="32"/>
  <c r="BR65" i="32"/>
  <c r="BS65" i="32"/>
  <c r="BT65" i="32"/>
  <c r="BU65" i="32"/>
  <c r="BV65" i="32"/>
  <c r="BW65" i="32"/>
  <c r="BX65" i="32"/>
  <c r="BY65" i="32"/>
  <c r="BZ65" i="32"/>
  <c r="CA65" i="32"/>
  <c r="CB65" i="32"/>
  <c r="CC65" i="32"/>
  <c r="CD65" i="32"/>
  <c r="CE65" i="32"/>
  <c r="CF65" i="32"/>
  <c r="CG65" i="32"/>
  <c r="CH65" i="32"/>
  <c r="CI65" i="32"/>
  <c r="CJ65" i="32"/>
  <c r="CK65" i="32"/>
  <c r="CL65" i="32"/>
  <c r="CM65" i="32"/>
  <c r="CN65" i="32"/>
  <c r="CO65" i="32"/>
  <c r="CP65" i="32"/>
  <c r="CQ65" i="32"/>
  <c r="CR65" i="32"/>
  <c r="CS65" i="32"/>
  <c r="CT65" i="32"/>
  <c r="CU65" i="32"/>
  <c r="CV65" i="32"/>
  <c r="CW65" i="32"/>
  <c r="CX65" i="32"/>
  <c r="CY65" i="32"/>
  <c r="CZ65" i="32"/>
  <c r="DA65" i="32"/>
  <c r="DB65" i="32"/>
  <c r="DC65" i="32"/>
  <c r="DD65" i="32"/>
  <c r="DE65" i="32"/>
  <c r="DF65" i="32"/>
  <c r="DG65" i="32"/>
  <c r="DH65" i="32"/>
  <c r="DI65" i="32"/>
  <c r="DJ65" i="32"/>
  <c r="DK65" i="32"/>
  <c r="DL65" i="32"/>
  <c r="DM65" i="32"/>
  <c r="DN65" i="32"/>
  <c r="DO65" i="32"/>
  <c r="DP65" i="32"/>
  <c r="DQ65" i="32"/>
  <c r="DR65" i="32"/>
  <c r="DS65" i="32"/>
  <c r="DT65" i="32"/>
  <c r="DU65" i="32"/>
  <c r="DV65" i="32"/>
  <c r="DW65" i="32"/>
  <c r="DX65" i="32"/>
  <c r="DY65" i="32"/>
  <c r="DZ65" i="32"/>
  <c r="EA65" i="32"/>
  <c r="EB65" i="32"/>
  <c r="EC65" i="32"/>
  <c r="ED65" i="32"/>
  <c r="EE65" i="32"/>
  <c r="EF65" i="32"/>
  <c r="EG65" i="32"/>
  <c r="EH65" i="32"/>
  <c r="EI65" i="32"/>
  <c r="EJ65" i="32"/>
  <c r="EK65" i="32"/>
  <c r="EL65" i="32"/>
  <c r="EM65" i="32"/>
  <c r="EN65" i="32"/>
  <c r="EO65" i="32"/>
  <c r="EP65" i="32"/>
  <c r="EQ65" i="32"/>
  <c r="ER65" i="32"/>
  <c r="ES65" i="32"/>
  <c r="ET65" i="32"/>
  <c r="EU65" i="32"/>
  <c r="EV65" i="32"/>
  <c r="EW65" i="32"/>
  <c r="EX65" i="32"/>
  <c r="EY65" i="32"/>
  <c r="EZ65" i="32"/>
  <c r="FA65" i="32"/>
  <c r="FB65" i="32"/>
  <c r="FC65" i="32"/>
  <c r="FD65" i="32"/>
  <c r="FE65" i="32"/>
  <c r="FF65" i="32"/>
  <c r="FG65" i="32"/>
  <c r="FH65" i="32"/>
  <c r="FI65" i="32"/>
  <c r="FJ65" i="32"/>
  <c r="FK65" i="32"/>
  <c r="FL65" i="32"/>
  <c r="FM65" i="32"/>
  <c r="FN65" i="32"/>
  <c r="FO65" i="32"/>
  <c r="FP65" i="32"/>
  <c r="FQ65" i="32"/>
  <c r="FR65" i="32"/>
  <c r="FS65" i="32"/>
  <c r="FT65" i="32"/>
  <c r="FU65" i="32"/>
  <c r="FV65" i="32"/>
  <c r="FW65" i="32"/>
  <c r="FX65" i="32"/>
  <c r="FY65" i="32"/>
  <c r="FZ65" i="32"/>
  <c r="GA65" i="32"/>
  <c r="GB65" i="32"/>
  <c r="GC65" i="32"/>
  <c r="GD65" i="32"/>
  <c r="GE65" i="32"/>
  <c r="GF65" i="32"/>
  <c r="GG65" i="32"/>
  <c r="GH65" i="32"/>
  <c r="GI65" i="32"/>
  <c r="GJ65" i="32"/>
  <c r="GK65" i="32"/>
  <c r="GL65" i="32"/>
  <c r="GM65" i="32"/>
  <c r="GN65" i="32"/>
  <c r="GO65" i="32"/>
  <c r="GP65" i="32"/>
  <c r="GQ65" i="32"/>
  <c r="GR65" i="32"/>
  <c r="GS65" i="32"/>
  <c r="GT65" i="32"/>
  <c r="GU65" i="32"/>
  <c r="GV65" i="32"/>
  <c r="GW65" i="32"/>
  <c r="GX65" i="32"/>
  <c r="GY65" i="32"/>
  <c r="GZ65" i="32"/>
  <c r="HA65" i="32"/>
  <c r="HB65" i="32"/>
  <c r="HC65" i="32"/>
  <c r="HD65" i="32"/>
  <c r="HE65" i="32"/>
  <c r="HF65" i="32"/>
  <c r="HG65" i="32"/>
  <c r="HH65" i="32"/>
  <c r="HI65" i="32"/>
  <c r="HJ65" i="32"/>
  <c r="HK65" i="32"/>
  <c r="HL65" i="32"/>
  <c r="HM65" i="32"/>
  <c r="HN65" i="32"/>
  <c r="HO65" i="32"/>
  <c r="HP65" i="32"/>
  <c r="HQ65" i="32"/>
  <c r="HR65" i="32"/>
  <c r="HS65" i="32"/>
  <c r="HT65" i="32"/>
  <c r="HU65" i="32"/>
  <c r="HV65" i="32"/>
  <c r="HW65" i="32"/>
  <c r="HX65" i="32"/>
  <c r="HY65" i="32"/>
  <c r="HZ65" i="32"/>
  <c r="IA65" i="32"/>
  <c r="IB65" i="32"/>
  <c r="IC65" i="32"/>
  <c r="ID65" i="32"/>
  <c r="IE65" i="32"/>
  <c r="IF65" i="32"/>
  <c r="IG65" i="32"/>
  <c r="IH65" i="32"/>
  <c r="II65" i="32"/>
  <c r="IJ65" i="32"/>
  <c r="IK65" i="32"/>
  <c r="IL65" i="32"/>
  <c r="IM65" i="32"/>
  <c r="IN65" i="32"/>
  <c r="IO65" i="32"/>
  <c r="IP65" i="32"/>
  <c r="IQ65" i="32"/>
  <c r="IR65" i="32"/>
  <c r="IS65" i="32"/>
  <c r="IT65" i="32"/>
  <c r="IU65" i="32"/>
  <c r="IV65" i="32"/>
  <c r="A64" i="32"/>
  <c r="B64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O64" i="32"/>
  <c r="P64" i="32"/>
  <c r="Q64" i="32"/>
  <c r="R64" i="32"/>
  <c r="S64" i="32"/>
  <c r="T64" i="32"/>
  <c r="U64" i="32"/>
  <c r="V64" i="32"/>
  <c r="W64" i="32"/>
  <c r="X64" i="32"/>
  <c r="Y64" i="32"/>
  <c r="Z64" i="32"/>
  <c r="AA64" i="32"/>
  <c r="AB64" i="32"/>
  <c r="AC64" i="32"/>
  <c r="AD64" i="32"/>
  <c r="AE64" i="32"/>
  <c r="AF64" i="32"/>
  <c r="AG64" i="32"/>
  <c r="AH64" i="32"/>
  <c r="AI64" i="32"/>
  <c r="AJ64" i="32"/>
  <c r="AK64" i="32"/>
  <c r="AL64" i="32"/>
  <c r="AM64" i="32"/>
  <c r="AN64" i="32"/>
  <c r="AO64" i="32"/>
  <c r="AP64" i="32"/>
  <c r="AQ64" i="32"/>
  <c r="AR64" i="32"/>
  <c r="AS64" i="32"/>
  <c r="AT64" i="32"/>
  <c r="AU64" i="32"/>
  <c r="AV64" i="32"/>
  <c r="AW64" i="32"/>
  <c r="AX64" i="32"/>
  <c r="AY64" i="32"/>
  <c r="AZ64" i="32"/>
  <c r="BA64" i="32"/>
  <c r="BB64" i="32"/>
  <c r="BC64" i="32"/>
  <c r="BD64" i="32"/>
  <c r="BE64" i="32"/>
  <c r="BF64" i="32"/>
  <c r="BG64" i="32"/>
  <c r="BH64" i="32"/>
  <c r="BI64" i="32"/>
  <c r="BJ64" i="32"/>
  <c r="BK64" i="32"/>
  <c r="BL64" i="32"/>
  <c r="BM64" i="32"/>
  <c r="BN64" i="32"/>
  <c r="BO64" i="32"/>
  <c r="BP64" i="32"/>
  <c r="BQ64" i="32"/>
  <c r="BR64" i="32"/>
  <c r="BS64" i="32"/>
  <c r="BT64" i="32"/>
  <c r="BU64" i="32"/>
  <c r="BV64" i="32"/>
  <c r="BW64" i="32"/>
  <c r="BX64" i="32"/>
  <c r="BY64" i="32"/>
  <c r="BZ64" i="32"/>
  <c r="CA64" i="32"/>
  <c r="CB64" i="32"/>
  <c r="CC64" i="32"/>
  <c r="CD64" i="32"/>
  <c r="CE64" i="32"/>
  <c r="CF64" i="32"/>
  <c r="CG64" i="32"/>
  <c r="CH64" i="32"/>
  <c r="CI64" i="32"/>
  <c r="CJ64" i="32"/>
  <c r="CK64" i="32"/>
  <c r="CL64" i="32"/>
  <c r="CM64" i="32"/>
  <c r="CN64" i="32"/>
  <c r="CO64" i="32"/>
  <c r="CP64" i="32"/>
  <c r="CQ64" i="32"/>
  <c r="CR64" i="32"/>
  <c r="CS64" i="32"/>
  <c r="CT64" i="32"/>
  <c r="CU64" i="32"/>
  <c r="CV64" i="32"/>
  <c r="CW64" i="32"/>
  <c r="CX64" i="32"/>
  <c r="CY64" i="32"/>
  <c r="CZ64" i="32"/>
  <c r="DA64" i="32"/>
  <c r="DB64" i="32"/>
  <c r="DC64" i="32"/>
  <c r="DD64" i="32"/>
  <c r="DE64" i="32"/>
  <c r="DF64" i="32"/>
  <c r="DG64" i="32"/>
  <c r="DH64" i="32"/>
  <c r="DI64" i="32"/>
  <c r="DJ64" i="32"/>
  <c r="DK64" i="32"/>
  <c r="DL64" i="32"/>
  <c r="DM64" i="32"/>
  <c r="DN64" i="32"/>
  <c r="DO64" i="32"/>
  <c r="DP64" i="32"/>
  <c r="DQ64" i="32"/>
  <c r="DR64" i="32"/>
  <c r="DS64" i="32"/>
  <c r="DT64" i="32"/>
  <c r="DU64" i="32"/>
  <c r="DV64" i="32"/>
  <c r="DW64" i="32"/>
  <c r="DX64" i="32"/>
  <c r="DY64" i="32"/>
  <c r="DZ64" i="32"/>
  <c r="EA64" i="32"/>
  <c r="EB64" i="32"/>
  <c r="EC64" i="32"/>
  <c r="ED64" i="32"/>
  <c r="EE64" i="32"/>
  <c r="EF64" i="32"/>
  <c r="EG64" i="32"/>
  <c r="EH64" i="32"/>
  <c r="EI64" i="32"/>
  <c r="EJ64" i="32"/>
  <c r="EK64" i="32"/>
  <c r="EL64" i="32"/>
  <c r="EM64" i="32"/>
  <c r="EN64" i="32"/>
  <c r="EO64" i="32"/>
  <c r="EP64" i="32"/>
  <c r="EQ64" i="32"/>
  <c r="ER64" i="32"/>
  <c r="ES64" i="32"/>
  <c r="ET64" i="32"/>
  <c r="EU64" i="32"/>
  <c r="EV64" i="32"/>
  <c r="EW64" i="32"/>
  <c r="EX64" i="32"/>
  <c r="EY64" i="32"/>
  <c r="EZ64" i="32"/>
  <c r="FA64" i="32"/>
  <c r="FB64" i="32"/>
  <c r="FC64" i="32"/>
  <c r="FD64" i="32"/>
  <c r="FE64" i="32"/>
  <c r="FF64" i="32"/>
  <c r="FG64" i="32"/>
  <c r="FH64" i="32"/>
  <c r="FI64" i="32"/>
  <c r="FJ64" i="32"/>
  <c r="FK64" i="32"/>
  <c r="FL64" i="32"/>
  <c r="FM64" i="32"/>
  <c r="FN64" i="32"/>
  <c r="FO64" i="32"/>
  <c r="FP64" i="32"/>
  <c r="FQ64" i="32"/>
  <c r="FR64" i="32"/>
  <c r="FS64" i="32"/>
  <c r="FT64" i="32"/>
  <c r="FU64" i="32"/>
  <c r="FV64" i="32"/>
  <c r="FW64" i="32"/>
  <c r="FX64" i="32"/>
  <c r="FY64" i="32"/>
  <c r="FZ64" i="32"/>
  <c r="GA64" i="32"/>
  <c r="GB64" i="32"/>
  <c r="GC64" i="32"/>
  <c r="GD64" i="32"/>
  <c r="GE64" i="32"/>
  <c r="GF64" i="32"/>
  <c r="GG64" i="32"/>
  <c r="GH64" i="32"/>
  <c r="GI64" i="32"/>
  <c r="GJ64" i="32"/>
  <c r="GK64" i="32"/>
  <c r="GL64" i="32"/>
  <c r="GM64" i="32"/>
  <c r="GN64" i="32"/>
  <c r="GO64" i="32"/>
  <c r="GP64" i="32"/>
  <c r="GQ64" i="32"/>
  <c r="GR64" i="32"/>
  <c r="GS64" i="32"/>
  <c r="GT64" i="32"/>
  <c r="GU64" i="32"/>
  <c r="GV64" i="32"/>
  <c r="GW64" i="32"/>
  <c r="GX64" i="32"/>
  <c r="GY64" i="32"/>
  <c r="GZ64" i="32"/>
  <c r="HA64" i="32"/>
  <c r="HB64" i="32"/>
  <c r="HC64" i="32"/>
  <c r="HD64" i="32"/>
  <c r="HE64" i="32"/>
  <c r="HF64" i="32"/>
  <c r="HG64" i="32"/>
  <c r="HH64" i="32"/>
  <c r="HI64" i="32"/>
  <c r="HJ64" i="32"/>
  <c r="HK64" i="32"/>
  <c r="HL64" i="32"/>
  <c r="HM64" i="32"/>
  <c r="HN64" i="32"/>
  <c r="HO64" i="32"/>
  <c r="HP64" i="32"/>
  <c r="HQ64" i="32"/>
  <c r="HR64" i="32"/>
  <c r="HS64" i="32"/>
  <c r="HT64" i="32"/>
  <c r="HU64" i="32"/>
  <c r="HV64" i="32"/>
  <c r="HW64" i="32"/>
  <c r="HX64" i="32"/>
  <c r="HY64" i="32"/>
  <c r="HZ64" i="32"/>
  <c r="IA64" i="32"/>
  <c r="IB64" i="32"/>
  <c r="IC64" i="32"/>
  <c r="ID64" i="32"/>
  <c r="IE64" i="32"/>
  <c r="IF64" i="32"/>
  <c r="IG64" i="32"/>
  <c r="IH64" i="32"/>
  <c r="II64" i="32"/>
  <c r="IJ64" i="32"/>
  <c r="IK64" i="32"/>
  <c r="IL64" i="32"/>
  <c r="IM64" i="32"/>
  <c r="IN64" i="32"/>
  <c r="IO64" i="32"/>
  <c r="IP64" i="32"/>
  <c r="IQ64" i="32"/>
  <c r="IR64" i="32"/>
  <c r="IS64" i="32"/>
  <c r="IT64" i="32"/>
  <c r="IU64" i="32"/>
  <c r="IV64" i="32"/>
  <c r="A63" i="32"/>
  <c r="B63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O63" i="32"/>
  <c r="P63" i="32"/>
  <c r="Q63" i="32"/>
  <c r="R63" i="32"/>
  <c r="S63" i="32"/>
  <c r="T63" i="32"/>
  <c r="U63" i="32"/>
  <c r="V63" i="32"/>
  <c r="W63" i="32"/>
  <c r="X63" i="32"/>
  <c r="Y63" i="32"/>
  <c r="Z63" i="32"/>
  <c r="AA63" i="32"/>
  <c r="AB63" i="32"/>
  <c r="AC63" i="32"/>
  <c r="AD63" i="32"/>
  <c r="AE63" i="32"/>
  <c r="AF63" i="32"/>
  <c r="AG63" i="32"/>
  <c r="AH63" i="32"/>
  <c r="AI63" i="32"/>
  <c r="AJ63" i="32"/>
  <c r="AK63" i="32"/>
  <c r="AL63" i="32"/>
  <c r="AM63" i="32"/>
  <c r="AN63" i="32"/>
  <c r="AO63" i="32"/>
  <c r="AP63" i="32"/>
  <c r="AQ63" i="32"/>
  <c r="AR63" i="32"/>
  <c r="AS63" i="32"/>
  <c r="AT63" i="32"/>
  <c r="AU63" i="32"/>
  <c r="AV63" i="32"/>
  <c r="AW63" i="32"/>
  <c r="AX63" i="32"/>
  <c r="AY63" i="32"/>
  <c r="AZ63" i="32"/>
  <c r="BA63" i="32"/>
  <c r="BB63" i="32"/>
  <c r="BC63" i="32"/>
  <c r="BD63" i="32"/>
  <c r="BE63" i="32"/>
  <c r="BF63" i="32"/>
  <c r="BG63" i="32"/>
  <c r="BH63" i="32"/>
  <c r="BI63" i="32"/>
  <c r="BJ63" i="32"/>
  <c r="BK63" i="32"/>
  <c r="BL63" i="32"/>
  <c r="BM63" i="32"/>
  <c r="BN63" i="32"/>
  <c r="BO63" i="32"/>
  <c r="BP63" i="32"/>
  <c r="BQ63" i="32"/>
  <c r="BR63" i="32"/>
  <c r="BS63" i="32"/>
  <c r="BT63" i="32"/>
  <c r="BU63" i="32"/>
  <c r="BV63" i="32"/>
  <c r="BW63" i="32"/>
  <c r="BX63" i="32"/>
  <c r="BY63" i="32"/>
  <c r="BZ63" i="32"/>
  <c r="CA63" i="32"/>
  <c r="CB63" i="32"/>
  <c r="CC63" i="32"/>
  <c r="CD63" i="32"/>
  <c r="CE63" i="32"/>
  <c r="CF63" i="32"/>
  <c r="CG63" i="32"/>
  <c r="CH63" i="32"/>
  <c r="CI63" i="32"/>
  <c r="CJ63" i="32"/>
  <c r="CK63" i="32"/>
  <c r="CL63" i="32"/>
  <c r="CM63" i="32"/>
  <c r="CN63" i="32"/>
  <c r="CO63" i="32"/>
  <c r="CP63" i="32"/>
  <c r="CQ63" i="32"/>
  <c r="CR63" i="32"/>
  <c r="CS63" i="32"/>
  <c r="CT63" i="32"/>
  <c r="CU63" i="32"/>
  <c r="CV63" i="32"/>
  <c r="CW63" i="32"/>
  <c r="CX63" i="32"/>
  <c r="CY63" i="32"/>
  <c r="CZ63" i="32"/>
  <c r="DA63" i="32"/>
  <c r="DB63" i="32"/>
  <c r="DC63" i="32"/>
  <c r="DD63" i="32"/>
  <c r="DE63" i="32"/>
  <c r="DF63" i="32"/>
  <c r="DG63" i="32"/>
  <c r="DH63" i="32"/>
  <c r="DI63" i="32"/>
  <c r="DJ63" i="32"/>
  <c r="DK63" i="32"/>
  <c r="DL63" i="32"/>
  <c r="DM63" i="32"/>
  <c r="DN63" i="32"/>
  <c r="DO63" i="32"/>
  <c r="DP63" i="32"/>
  <c r="DQ63" i="32"/>
  <c r="DR63" i="32"/>
  <c r="DS63" i="32"/>
  <c r="DT63" i="32"/>
  <c r="DU63" i="32"/>
  <c r="DV63" i="32"/>
  <c r="DW63" i="32"/>
  <c r="DX63" i="32"/>
  <c r="DY63" i="32"/>
  <c r="DZ63" i="32"/>
  <c r="EA63" i="32"/>
  <c r="EB63" i="32"/>
  <c r="EC63" i="32"/>
  <c r="ED63" i="32"/>
  <c r="EE63" i="32"/>
  <c r="EF63" i="32"/>
  <c r="EG63" i="32"/>
  <c r="EH63" i="32"/>
  <c r="EI63" i="32"/>
  <c r="EJ63" i="32"/>
  <c r="EK63" i="32"/>
  <c r="EL63" i="32"/>
  <c r="EM63" i="32"/>
  <c r="EN63" i="32"/>
  <c r="EO63" i="32"/>
  <c r="EP63" i="32"/>
  <c r="EQ63" i="32"/>
  <c r="ER63" i="32"/>
  <c r="ES63" i="32"/>
  <c r="ET63" i="32"/>
  <c r="EU63" i="32"/>
  <c r="EV63" i="32"/>
  <c r="EW63" i="32"/>
  <c r="EX63" i="32"/>
  <c r="EY63" i="32"/>
  <c r="EZ63" i="32"/>
  <c r="FA63" i="32"/>
  <c r="FB63" i="32"/>
  <c r="FC63" i="32"/>
  <c r="FD63" i="32"/>
  <c r="FE63" i="32"/>
  <c r="FF63" i="32"/>
  <c r="FG63" i="32"/>
  <c r="FH63" i="32"/>
  <c r="FI63" i="32"/>
  <c r="FJ63" i="32"/>
  <c r="FK63" i="32"/>
  <c r="FL63" i="32"/>
  <c r="FM63" i="32"/>
  <c r="FN63" i="32"/>
  <c r="FO63" i="32"/>
  <c r="FP63" i="32"/>
  <c r="FQ63" i="32"/>
  <c r="FR63" i="32"/>
  <c r="FS63" i="32"/>
  <c r="FT63" i="32"/>
  <c r="FU63" i="32"/>
  <c r="FV63" i="32"/>
  <c r="FW63" i="32"/>
  <c r="FX63" i="32"/>
  <c r="FY63" i="32"/>
  <c r="FZ63" i="32"/>
  <c r="GA63" i="32"/>
  <c r="GB63" i="32"/>
  <c r="GC63" i="32"/>
  <c r="GD63" i="32"/>
  <c r="GE63" i="32"/>
  <c r="GF63" i="32"/>
  <c r="GG63" i="32"/>
  <c r="GH63" i="32"/>
  <c r="GI63" i="32"/>
  <c r="GJ63" i="32"/>
  <c r="GK63" i="32"/>
  <c r="GL63" i="32"/>
  <c r="GM63" i="32"/>
  <c r="GN63" i="32"/>
  <c r="GO63" i="32"/>
  <c r="GP63" i="32"/>
  <c r="GQ63" i="32"/>
  <c r="GR63" i="32"/>
  <c r="GS63" i="32"/>
  <c r="GT63" i="32"/>
  <c r="GU63" i="32"/>
  <c r="GV63" i="32"/>
  <c r="GW63" i="32"/>
  <c r="GX63" i="32"/>
  <c r="GY63" i="32"/>
  <c r="GZ63" i="32"/>
  <c r="HA63" i="32"/>
  <c r="HB63" i="32"/>
  <c r="HC63" i="32"/>
  <c r="HD63" i="32"/>
  <c r="HE63" i="32"/>
  <c r="HF63" i="32"/>
  <c r="HG63" i="32"/>
  <c r="HH63" i="32"/>
  <c r="HI63" i="32"/>
  <c r="HJ63" i="32"/>
  <c r="HK63" i="32"/>
  <c r="HL63" i="32"/>
  <c r="HM63" i="32"/>
  <c r="HN63" i="32"/>
  <c r="HO63" i="32"/>
  <c r="HP63" i="32"/>
  <c r="HQ63" i="32"/>
  <c r="HR63" i="32"/>
  <c r="HS63" i="32"/>
  <c r="HT63" i="32"/>
  <c r="HU63" i="32"/>
  <c r="HV63" i="32"/>
  <c r="HW63" i="32"/>
  <c r="HX63" i="32"/>
  <c r="HY63" i="32"/>
  <c r="HZ63" i="32"/>
  <c r="IA63" i="32"/>
  <c r="IB63" i="32"/>
  <c r="IC63" i="32"/>
  <c r="ID63" i="32"/>
  <c r="IE63" i="32"/>
  <c r="IF63" i="32"/>
  <c r="IG63" i="32"/>
  <c r="IH63" i="32"/>
  <c r="II63" i="32"/>
  <c r="IJ63" i="32"/>
  <c r="IK63" i="32"/>
  <c r="IL63" i="32"/>
  <c r="IM63" i="32"/>
  <c r="IN63" i="32"/>
  <c r="IO63" i="32"/>
  <c r="IP63" i="32"/>
  <c r="IQ63" i="32"/>
  <c r="IR63" i="32"/>
  <c r="IS63" i="32"/>
  <c r="IT63" i="32"/>
  <c r="IU63" i="32"/>
  <c r="IV63" i="32"/>
  <c r="A62" i="32"/>
  <c r="B62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O62" i="32"/>
  <c r="P62" i="32"/>
  <c r="Q62" i="32"/>
  <c r="R62" i="32"/>
  <c r="S62" i="32"/>
  <c r="T62" i="32"/>
  <c r="U62" i="32"/>
  <c r="V62" i="32"/>
  <c r="W62" i="32"/>
  <c r="X62" i="32"/>
  <c r="Y62" i="32"/>
  <c r="Z62" i="32"/>
  <c r="AA62" i="32"/>
  <c r="AB62" i="32"/>
  <c r="AC62" i="32"/>
  <c r="AD62" i="32"/>
  <c r="AE62" i="32"/>
  <c r="AF62" i="32"/>
  <c r="AG62" i="32"/>
  <c r="AH62" i="32"/>
  <c r="AI62" i="32"/>
  <c r="AJ62" i="32"/>
  <c r="AK62" i="32"/>
  <c r="AL62" i="32"/>
  <c r="AM62" i="32"/>
  <c r="AN62" i="32"/>
  <c r="AO62" i="32"/>
  <c r="AP62" i="32"/>
  <c r="AQ62" i="32"/>
  <c r="AR62" i="32"/>
  <c r="AS62" i="32"/>
  <c r="AT62" i="32"/>
  <c r="AU62" i="32"/>
  <c r="AV62" i="32"/>
  <c r="AW62" i="32"/>
  <c r="AX62" i="32"/>
  <c r="AY62" i="32"/>
  <c r="AZ62" i="32"/>
  <c r="BA62" i="32"/>
  <c r="BB62" i="32"/>
  <c r="BC62" i="32"/>
  <c r="BD62" i="32"/>
  <c r="BE62" i="32"/>
  <c r="BF62" i="32"/>
  <c r="BG62" i="32"/>
  <c r="BH62" i="32"/>
  <c r="BI62" i="32"/>
  <c r="BJ62" i="32"/>
  <c r="BK62" i="32"/>
  <c r="BL62" i="32"/>
  <c r="BM62" i="32"/>
  <c r="BN62" i="32"/>
  <c r="BO62" i="32"/>
  <c r="BP62" i="32"/>
  <c r="BQ62" i="32"/>
  <c r="BR62" i="32"/>
  <c r="BS62" i="32"/>
  <c r="BT62" i="32"/>
  <c r="BU62" i="32"/>
  <c r="BV62" i="32"/>
  <c r="BW62" i="32"/>
  <c r="BX62" i="32"/>
  <c r="BY62" i="32"/>
  <c r="BZ62" i="32"/>
  <c r="CA62" i="32"/>
  <c r="CB62" i="32"/>
  <c r="CC62" i="32"/>
  <c r="CD62" i="32"/>
  <c r="CE62" i="32"/>
  <c r="CF62" i="32"/>
  <c r="CG62" i="32"/>
  <c r="CH62" i="32"/>
  <c r="CI62" i="32"/>
  <c r="CJ62" i="32"/>
  <c r="CK62" i="32"/>
  <c r="CL62" i="32"/>
  <c r="CM62" i="32"/>
  <c r="CN62" i="32"/>
  <c r="CO62" i="32"/>
  <c r="CP62" i="32"/>
  <c r="CQ62" i="32"/>
  <c r="CR62" i="32"/>
  <c r="CS62" i="32"/>
  <c r="CT62" i="32"/>
  <c r="CU62" i="32"/>
  <c r="CV62" i="32"/>
  <c r="CW62" i="32"/>
  <c r="CX62" i="32"/>
  <c r="CY62" i="32"/>
  <c r="CZ62" i="32"/>
  <c r="DA62" i="32"/>
  <c r="DB62" i="32"/>
  <c r="DC62" i="32"/>
  <c r="DD62" i="32"/>
  <c r="DE62" i="32"/>
  <c r="DF62" i="32"/>
  <c r="DG62" i="32"/>
  <c r="DH62" i="32"/>
  <c r="DI62" i="32"/>
  <c r="DJ62" i="32"/>
  <c r="DK62" i="32"/>
  <c r="DL62" i="32"/>
  <c r="DM62" i="32"/>
  <c r="DN62" i="32"/>
  <c r="DO62" i="32"/>
  <c r="DP62" i="32"/>
  <c r="DQ62" i="32"/>
  <c r="DR62" i="32"/>
  <c r="DS62" i="32"/>
  <c r="DT62" i="32"/>
  <c r="DU62" i="32"/>
  <c r="DV62" i="32"/>
  <c r="DW62" i="32"/>
  <c r="DX62" i="32"/>
  <c r="DY62" i="32"/>
  <c r="DZ62" i="32"/>
  <c r="EA62" i="32"/>
  <c r="EB62" i="32"/>
  <c r="EC62" i="32"/>
  <c r="ED62" i="32"/>
  <c r="EE62" i="32"/>
  <c r="EF62" i="32"/>
  <c r="EG62" i="32"/>
  <c r="EH62" i="32"/>
  <c r="EI62" i="32"/>
  <c r="EJ62" i="32"/>
  <c r="EK62" i="32"/>
  <c r="EL62" i="32"/>
  <c r="EM62" i="32"/>
  <c r="EN62" i="32"/>
  <c r="EO62" i="32"/>
  <c r="EP62" i="32"/>
  <c r="EQ62" i="32"/>
  <c r="ER62" i="32"/>
  <c r="ES62" i="32"/>
  <c r="ET62" i="32"/>
  <c r="EU62" i="32"/>
  <c r="EV62" i="32"/>
  <c r="EW62" i="32"/>
  <c r="EX62" i="32"/>
  <c r="EY62" i="32"/>
  <c r="EZ62" i="32"/>
  <c r="FA62" i="32"/>
  <c r="FB62" i="32"/>
  <c r="FC62" i="32"/>
  <c r="FD62" i="32"/>
  <c r="FE62" i="32"/>
  <c r="FF62" i="32"/>
  <c r="FG62" i="32"/>
  <c r="FH62" i="32"/>
  <c r="FI62" i="32"/>
  <c r="FJ62" i="32"/>
  <c r="FK62" i="32"/>
  <c r="FL62" i="32"/>
  <c r="FM62" i="32"/>
  <c r="FN62" i="32"/>
  <c r="FO62" i="32"/>
  <c r="FP62" i="32"/>
  <c r="FQ62" i="32"/>
  <c r="FR62" i="32"/>
  <c r="FS62" i="32"/>
  <c r="FT62" i="32"/>
  <c r="FU62" i="32"/>
  <c r="FV62" i="32"/>
  <c r="FW62" i="32"/>
  <c r="FX62" i="32"/>
  <c r="FY62" i="32"/>
  <c r="FZ62" i="32"/>
  <c r="GA62" i="32"/>
  <c r="GB62" i="32"/>
  <c r="GC62" i="32"/>
  <c r="GD62" i="32"/>
  <c r="GE62" i="32"/>
  <c r="GF62" i="32"/>
  <c r="GG62" i="32"/>
  <c r="GH62" i="32"/>
  <c r="GI62" i="32"/>
  <c r="GJ62" i="32"/>
  <c r="GK62" i="32"/>
  <c r="GL62" i="32"/>
  <c r="GM62" i="32"/>
  <c r="GN62" i="32"/>
  <c r="GO62" i="32"/>
  <c r="GP62" i="32"/>
  <c r="GQ62" i="32"/>
  <c r="GR62" i="32"/>
  <c r="GS62" i="32"/>
  <c r="GT62" i="32"/>
  <c r="GU62" i="32"/>
  <c r="GV62" i="32"/>
  <c r="GW62" i="32"/>
  <c r="GX62" i="32"/>
  <c r="GY62" i="32"/>
  <c r="GZ62" i="32"/>
  <c r="HA62" i="32"/>
  <c r="HB62" i="32"/>
  <c r="HC62" i="32"/>
  <c r="HD62" i="32"/>
  <c r="HE62" i="32"/>
  <c r="HF62" i="32"/>
  <c r="HG62" i="32"/>
  <c r="HH62" i="32"/>
  <c r="HI62" i="32"/>
  <c r="HJ62" i="32"/>
  <c r="HK62" i="32"/>
  <c r="HL62" i="32"/>
  <c r="HM62" i="32"/>
  <c r="HN62" i="32"/>
  <c r="HO62" i="32"/>
  <c r="HP62" i="32"/>
  <c r="HQ62" i="32"/>
  <c r="HR62" i="32"/>
  <c r="HS62" i="32"/>
  <c r="HT62" i="32"/>
  <c r="HU62" i="32"/>
  <c r="HV62" i="32"/>
  <c r="HW62" i="32"/>
  <c r="HX62" i="32"/>
  <c r="HY62" i="32"/>
  <c r="HZ62" i="32"/>
  <c r="IA62" i="32"/>
  <c r="IB62" i="32"/>
  <c r="IC62" i="32"/>
  <c r="ID62" i="32"/>
  <c r="IE62" i="32"/>
  <c r="IF62" i="32"/>
  <c r="IG62" i="32"/>
  <c r="IH62" i="32"/>
  <c r="II62" i="32"/>
  <c r="IJ62" i="32"/>
  <c r="IK62" i="32"/>
  <c r="IL62" i="32"/>
  <c r="IM62" i="32"/>
  <c r="IN62" i="32"/>
  <c r="IO62" i="32"/>
  <c r="IP62" i="32"/>
  <c r="IQ62" i="32"/>
  <c r="IR62" i="32"/>
  <c r="IS62" i="32"/>
  <c r="IT62" i="32"/>
  <c r="IU62" i="32"/>
  <c r="IV62" i="32"/>
  <c r="A61" i="32"/>
  <c r="B61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P61" i="32"/>
  <c r="Q61" i="32"/>
  <c r="R61" i="32"/>
  <c r="S61" i="32"/>
  <c r="T61" i="32"/>
  <c r="U61" i="32"/>
  <c r="V61" i="32"/>
  <c r="W61" i="32"/>
  <c r="X61" i="32"/>
  <c r="Y61" i="32"/>
  <c r="Z61" i="32"/>
  <c r="AA61" i="32"/>
  <c r="AB61" i="32"/>
  <c r="AC61" i="32"/>
  <c r="AD61" i="32"/>
  <c r="AE61" i="32"/>
  <c r="AF61" i="32"/>
  <c r="AG61" i="32"/>
  <c r="AH61" i="32"/>
  <c r="AI61" i="32"/>
  <c r="AJ61" i="32"/>
  <c r="AK61" i="32"/>
  <c r="AL61" i="32"/>
  <c r="AM61" i="32"/>
  <c r="AN61" i="32"/>
  <c r="AO61" i="32"/>
  <c r="AP61" i="32"/>
  <c r="AQ61" i="32"/>
  <c r="AR61" i="32"/>
  <c r="AS61" i="32"/>
  <c r="AT61" i="32"/>
  <c r="AU61" i="32"/>
  <c r="AV61" i="32"/>
  <c r="AW61" i="32"/>
  <c r="AX61" i="32"/>
  <c r="AY61" i="32"/>
  <c r="AZ61" i="32"/>
  <c r="BA61" i="32"/>
  <c r="BB61" i="32"/>
  <c r="BC61" i="32"/>
  <c r="BD61" i="32"/>
  <c r="BE61" i="32"/>
  <c r="BF61" i="32"/>
  <c r="BG61" i="32"/>
  <c r="BH61" i="32"/>
  <c r="BI61" i="32"/>
  <c r="BJ61" i="32"/>
  <c r="BK61" i="32"/>
  <c r="BL61" i="32"/>
  <c r="BM61" i="32"/>
  <c r="BN61" i="32"/>
  <c r="BO61" i="32"/>
  <c r="BP61" i="32"/>
  <c r="BQ61" i="32"/>
  <c r="BR61" i="32"/>
  <c r="BS61" i="32"/>
  <c r="BT61" i="32"/>
  <c r="BU61" i="32"/>
  <c r="BV61" i="32"/>
  <c r="BW61" i="32"/>
  <c r="BX61" i="32"/>
  <c r="BY61" i="32"/>
  <c r="BZ61" i="32"/>
  <c r="CA61" i="32"/>
  <c r="CB61" i="32"/>
  <c r="CC61" i="32"/>
  <c r="CD61" i="32"/>
  <c r="CE61" i="32"/>
  <c r="CF61" i="32"/>
  <c r="CG61" i="32"/>
  <c r="CH61" i="32"/>
  <c r="CI61" i="32"/>
  <c r="CJ61" i="32"/>
  <c r="CK61" i="32"/>
  <c r="CL61" i="32"/>
  <c r="CM61" i="32"/>
  <c r="CN61" i="32"/>
  <c r="CO61" i="32"/>
  <c r="CP61" i="32"/>
  <c r="CQ61" i="32"/>
  <c r="CR61" i="32"/>
  <c r="CS61" i="32"/>
  <c r="CT61" i="32"/>
  <c r="CU61" i="32"/>
  <c r="CV61" i="32"/>
  <c r="CW61" i="32"/>
  <c r="CX61" i="32"/>
  <c r="CY61" i="32"/>
  <c r="CZ61" i="32"/>
  <c r="DA61" i="32"/>
  <c r="DB61" i="32"/>
  <c r="DC61" i="32"/>
  <c r="DD61" i="32"/>
  <c r="DE61" i="32"/>
  <c r="DF61" i="32"/>
  <c r="DG61" i="32"/>
  <c r="DH61" i="32"/>
  <c r="DI61" i="32"/>
  <c r="DJ61" i="32"/>
  <c r="DK61" i="32"/>
  <c r="DL61" i="32"/>
  <c r="DM61" i="32"/>
  <c r="DN61" i="32"/>
  <c r="DO61" i="32"/>
  <c r="DP61" i="32"/>
  <c r="DQ61" i="32"/>
  <c r="DR61" i="32"/>
  <c r="DS61" i="32"/>
  <c r="DT61" i="32"/>
  <c r="DU61" i="32"/>
  <c r="DV61" i="32"/>
  <c r="DW61" i="32"/>
  <c r="DX61" i="32"/>
  <c r="DY61" i="32"/>
  <c r="DZ61" i="32"/>
  <c r="EA61" i="32"/>
  <c r="EB61" i="32"/>
  <c r="EC61" i="32"/>
  <c r="ED61" i="32"/>
  <c r="EE61" i="32"/>
  <c r="EF61" i="32"/>
  <c r="EG61" i="32"/>
  <c r="EH61" i="32"/>
  <c r="EI61" i="32"/>
  <c r="EJ61" i="32"/>
  <c r="EK61" i="32"/>
  <c r="EL61" i="32"/>
  <c r="EM61" i="32"/>
  <c r="EN61" i="32"/>
  <c r="EO61" i="32"/>
  <c r="EP61" i="32"/>
  <c r="EQ61" i="32"/>
  <c r="ER61" i="32"/>
  <c r="ES61" i="32"/>
  <c r="ET61" i="32"/>
  <c r="EU61" i="32"/>
  <c r="EV61" i="32"/>
  <c r="EW61" i="32"/>
  <c r="EX61" i="32"/>
  <c r="EY61" i="32"/>
  <c r="EZ61" i="32"/>
  <c r="FA61" i="32"/>
  <c r="FB61" i="32"/>
  <c r="FC61" i="32"/>
  <c r="FD61" i="32"/>
  <c r="FE61" i="32"/>
  <c r="FF61" i="32"/>
  <c r="FG61" i="32"/>
  <c r="FH61" i="32"/>
  <c r="FI61" i="32"/>
  <c r="FJ61" i="32"/>
  <c r="FK61" i="32"/>
  <c r="FL61" i="32"/>
  <c r="FM61" i="32"/>
  <c r="FN61" i="32"/>
  <c r="FO61" i="32"/>
  <c r="FP61" i="32"/>
  <c r="FQ61" i="32"/>
  <c r="FR61" i="32"/>
  <c r="FS61" i="32"/>
  <c r="FT61" i="32"/>
  <c r="FU61" i="32"/>
  <c r="FV61" i="32"/>
  <c r="FW61" i="32"/>
  <c r="FX61" i="32"/>
  <c r="FY61" i="32"/>
  <c r="FZ61" i="32"/>
  <c r="GA61" i="32"/>
  <c r="GB61" i="32"/>
  <c r="GC61" i="32"/>
  <c r="GD61" i="32"/>
  <c r="GE61" i="32"/>
  <c r="GF61" i="32"/>
  <c r="GG61" i="32"/>
  <c r="GH61" i="32"/>
  <c r="GI61" i="32"/>
  <c r="GJ61" i="32"/>
  <c r="GK61" i="32"/>
  <c r="GL61" i="32"/>
  <c r="GM61" i="32"/>
  <c r="GN61" i="32"/>
  <c r="GO61" i="32"/>
  <c r="GP61" i="32"/>
  <c r="GQ61" i="32"/>
  <c r="GR61" i="32"/>
  <c r="GS61" i="32"/>
  <c r="GT61" i="32"/>
  <c r="GU61" i="32"/>
  <c r="GV61" i="32"/>
  <c r="GW61" i="32"/>
  <c r="GX61" i="32"/>
  <c r="GY61" i="32"/>
  <c r="GZ61" i="32"/>
  <c r="HA61" i="32"/>
  <c r="HB61" i="32"/>
  <c r="HC61" i="32"/>
  <c r="HD61" i="32"/>
  <c r="HE61" i="32"/>
  <c r="HF61" i="32"/>
  <c r="HG61" i="32"/>
  <c r="HH61" i="32"/>
  <c r="HI61" i="32"/>
  <c r="HJ61" i="32"/>
  <c r="HK61" i="32"/>
  <c r="HL61" i="32"/>
  <c r="HM61" i="32"/>
  <c r="HN61" i="32"/>
  <c r="HO61" i="32"/>
  <c r="HP61" i="32"/>
  <c r="HQ61" i="32"/>
  <c r="HR61" i="32"/>
  <c r="HS61" i="32"/>
  <c r="HT61" i="32"/>
  <c r="HU61" i="32"/>
  <c r="HV61" i="32"/>
  <c r="HW61" i="32"/>
  <c r="HX61" i="32"/>
  <c r="HY61" i="32"/>
  <c r="HZ61" i="32"/>
  <c r="IA61" i="32"/>
  <c r="IB61" i="32"/>
  <c r="IC61" i="32"/>
  <c r="ID61" i="32"/>
  <c r="IE61" i="32"/>
  <c r="IF61" i="32"/>
  <c r="IG61" i="32"/>
  <c r="IH61" i="32"/>
  <c r="II61" i="32"/>
  <c r="IJ61" i="32"/>
  <c r="IK61" i="32"/>
  <c r="IL61" i="32"/>
  <c r="IM61" i="32"/>
  <c r="IN61" i="32"/>
  <c r="IO61" i="32"/>
  <c r="IP61" i="32"/>
  <c r="IQ61" i="32"/>
  <c r="IR61" i="32"/>
  <c r="IS61" i="32"/>
  <c r="IT61" i="32"/>
  <c r="IU61" i="32"/>
  <c r="IV61" i="32"/>
  <c r="A60" i="32"/>
  <c r="B60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T60" i="32"/>
  <c r="U60" i="32"/>
  <c r="V60" i="32"/>
  <c r="W60" i="32"/>
  <c r="X60" i="32"/>
  <c r="Y60" i="32"/>
  <c r="Z60" i="32"/>
  <c r="AA60" i="32"/>
  <c r="AB60" i="32"/>
  <c r="AC60" i="32"/>
  <c r="AD60" i="32"/>
  <c r="AE60" i="32"/>
  <c r="AF60" i="32"/>
  <c r="AG60" i="32"/>
  <c r="AH60" i="32"/>
  <c r="AI60" i="32"/>
  <c r="AJ60" i="32"/>
  <c r="AK60" i="32"/>
  <c r="AL60" i="32"/>
  <c r="AM60" i="32"/>
  <c r="AN60" i="32"/>
  <c r="AO60" i="32"/>
  <c r="AP60" i="32"/>
  <c r="AQ60" i="32"/>
  <c r="AR60" i="32"/>
  <c r="AS60" i="32"/>
  <c r="AT60" i="32"/>
  <c r="AU60" i="32"/>
  <c r="AV60" i="32"/>
  <c r="AW60" i="32"/>
  <c r="AX60" i="32"/>
  <c r="AY60" i="32"/>
  <c r="AZ60" i="32"/>
  <c r="BA60" i="32"/>
  <c r="BB60" i="32"/>
  <c r="BC60" i="32"/>
  <c r="BD60" i="32"/>
  <c r="BE60" i="32"/>
  <c r="BF60" i="32"/>
  <c r="BG60" i="32"/>
  <c r="BH60" i="32"/>
  <c r="BI60" i="32"/>
  <c r="BJ60" i="32"/>
  <c r="BK60" i="32"/>
  <c r="BL60" i="32"/>
  <c r="BM60" i="32"/>
  <c r="BN60" i="32"/>
  <c r="BO60" i="32"/>
  <c r="BP60" i="32"/>
  <c r="BQ60" i="32"/>
  <c r="BR60" i="32"/>
  <c r="BS60" i="32"/>
  <c r="BT60" i="32"/>
  <c r="BU60" i="32"/>
  <c r="BV60" i="32"/>
  <c r="BW60" i="32"/>
  <c r="BX60" i="32"/>
  <c r="BY60" i="32"/>
  <c r="BZ60" i="32"/>
  <c r="CA60" i="32"/>
  <c r="CB60" i="32"/>
  <c r="CC60" i="32"/>
  <c r="CD60" i="32"/>
  <c r="CE60" i="32"/>
  <c r="CF60" i="32"/>
  <c r="CG60" i="32"/>
  <c r="CH60" i="32"/>
  <c r="CI60" i="32"/>
  <c r="CJ60" i="32"/>
  <c r="CK60" i="32"/>
  <c r="CL60" i="32"/>
  <c r="CM60" i="32"/>
  <c r="CN60" i="32"/>
  <c r="CO60" i="32"/>
  <c r="CP60" i="32"/>
  <c r="CQ60" i="32"/>
  <c r="CR60" i="32"/>
  <c r="CS60" i="32"/>
  <c r="CT60" i="32"/>
  <c r="CU60" i="32"/>
  <c r="CV60" i="32"/>
  <c r="CW60" i="32"/>
  <c r="CX60" i="32"/>
  <c r="CY60" i="32"/>
  <c r="CZ60" i="32"/>
  <c r="DA60" i="32"/>
  <c r="DB60" i="32"/>
  <c r="DC60" i="32"/>
  <c r="DD60" i="32"/>
  <c r="DE60" i="32"/>
  <c r="DF60" i="32"/>
  <c r="DG60" i="32"/>
  <c r="DH60" i="32"/>
  <c r="DI60" i="32"/>
  <c r="DJ60" i="32"/>
  <c r="DK60" i="32"/>
  <c r="DL60" i="32"/>
  <c r="DM60" i="32"/>
  <c r="DN60" i="32"/>
  <c r="DO60" i="32"/>
  <c r="DP60" i="32"/>
  <c r="DQ60" i="32"/>
  <c r="DR60" i="32"/>
  <c r="DS60" i="32"/>
  <c r="DT60" i="32"/>
  <c r="DU60" i="32"/>
  <c r="DV60" i="32"/>
  <c r="DW60" i="32"/>
  <c r="DX60" i="32"/>
  <c r="DY60" i="32"/>
  <c r="DZ60" i="32"/>
  <c r="EA60" i="32"/>
  <c r="EB60" i="32"/>
  <c r="EC60" i="32"/>
  <c r="ED60" i="32"/>
  <c r="EE60" i="32"/>
  <c r="EF60" i="32"/>
  <c r="EG60" i="32"/>
  <c r="EH60" i="32"/>
  <c r="EI60" i="32"/>
  <c r="EJ60" i="32"/>
  <c r="EK60" i="32"/>
  <c r="EL60" i="32"/>
  <c r="EM60" i="32"/>
  <c r="EN60" i="32"/>
  <c r="EO60" i="32"/>
  <c r="EP60" i="32"/>
  <c r="EQ60" i="32"/>
  <c r="ER60" i="32"/>
  <c r="ES60" i="32"/>
  <c r="ET60" i="32"/>
  <c r="EU60" i="32"/>
  <c r="EV60" i="32"/>
  <c r="EW60" i="32"/>
  <c r="EX60" i="32"/>
  <c r="EY60" i="32"/>
  <c r="EZ60" i="32"/>
  <c r="FA60" i="32"/>
  <c r="FB60" i="32"/>
  <c r="FC60" i="32"/>
  <c r="FD60" i="32"/>
  <c r="FE60" i="32"/>
  <c r="FF60" i="32"/>
  <c r="FG60" i="32"/>
  <c r="FH60" i="32"/>
  <c r="FI60" i="32"/>
  <c r="FJ60" i="32"/>
  <c r="FK60" i="32"/>
  <c r="FL60" i="32"/>
  <c r="FM60" i="32"/>
  <c r="FN60" i="32"/>
  <c r="FO60" i="32"/>
  <c r="FP60" i="32"/>
  <c r="FQ60" i="32"/>
  <c r="FR60" i="32"/>
  <c r="FS60" i="32"/>
  <c r="FT60" i="32"/>
  <c r="FU60" i="32"/>
  <c r="FV60" i="32"/>
  <c r="FW60" i="32"/>
  <c r="FX60" i="32"/>
  <c r="FY60" i="32"/>
  <c r="FZ60" i="32"/>
  <c r="GA60" i="32"/>
  <c r="GB60" i="32"/>
  <c r="GC60" i="32"/>
  <c r="GD60" i="32"/>
  <c r="GE60" i="32"/>
  <c r="GF60" i="32"/>
  <c r="GG60" i="32"/>
  <c r="GH60" i="32"/>
  <c r="GI60" i="32"/>
  <c r="GJ60" i="32"/>
  <c r="GK60" i="32"/>
  <c r="GL60" i="32"/>
  <c r="GM60" i="32"/>
  <c r="GN60" i="32"/>
  <c r="GO60" i="32"/>
  <c r="GP60" i="32"/>
  <c r="GQ60" i="32"/>
  <c r="GR60" i="32"/>
  <c r="GS60" i="32"/>
  <c r="GT60" i="32"/>
  <c r="GU60" i="32"/>
  <c r="GV60" i="32"/>
  <c r="GW60" i="32"/>
  <c r="GX60" i="32"/>
  <c r="GY60" i="32"/>
  <c r="GZ60" i="32"/>
  <c r="HA60" i="32"/>
  <c r="HB60" i="32"/>
  <c r="HC60" i="32"/>
  <c r="HD60" i="32"/>
  <c r="HE60" i="32"/>
  <c r="HF60" i="32"/>
  <c r="HG60" i="32"/>
  <c r="HH60" i="32"/>
  <c r="HI60" i="32"/>
  <c r="HJ60" i="32"/>
  <c r="HK60" i="32"/>
  <c r="HL60" i="32"/>
  <c r="HM60" i="32"/>
  <c r="HN60" i="32"/>
  <c r="HO60" i="32"/>
  <c r="HP60" i="32"/>
  <c r="HQ60" i="32"/>
  <c r="HR60" i="32"/>
  <c r="HS60" i="32"/>
  <c r="HT60" i="32"/>
  <c r="HU60" i="32"/>
  <c r="HV60" i="32"/>
  <c r="HW60" i="32"/>
  <c r="HX60" i="32"/>
  <c r="HY60" i="32"/>
  <c r="HZ60" i="32"/>
  <c r="IA60" i="32"/>
  <c r="IB60" i="32"/>
  <c r="IC60" i="32"/>
  <c r="ID60" i="32"/>
  <c r="IE60" i="32"/>
  <c r="IF60" i="32"/>
  <c r="IG60" i="32"/>
  <c r="IH60" i="32"/>
  <c r="II60" i="32"/>
  <c r="IJ60" i="32"/>
  <c r="IK60" i="32"/>
  <c r="IL60" i="32"/>
  <c r="IM60" i="32"/>
  <c r="IN60" i="32"/>
  <c r="IO60" i="32"/>
  <c r="IP60" i="32"/>
  <c r="IQ60" i="32"/>
  <c r="IR60" i="32"/>
  <c r="IS60" i="32"/>
  <c r="IT60" i="32"/>
  <c r="IU60" i="32"/>
  <c r="IV60" i="32"/>
  <c r="A59" i="32"/>
  <c r="B59" i="32"/>
  <c r="C59" i="32"/>
  <c r="D59" i="32"/>
  <c r="E59" i="32"/>
  <c r="F59" i="32"/>
  <c r="G59" i="32"/>
  <c r="H59" i="32"/>
  <c r="I59" i="32"/>
  <c r="J59" i="32"/>
  <c r="K59" i="32"/>
  <c r="L59" i="32"/>
  <c r="M59" i="32"/>
  <c r="N59" i="32"/>
  <c r="O59" i="32"/>
  <c r="P59" i="32"/>
  <c r="Q59" i="32"/>
  <c r="R59" i="32"/>
  <c r="S59" i="32"/>
  <c r="T59" i="32"/>
  <c r="U59" i="32"/>
  <c r="V59" i="32"/>
  <c r="W59" i="32"/>
  <c r="X59" i="32"/>
  <c r="Y59" i="32"/>
  <c r="Z59" i="32"/>
  <c r="AA59" i="32"/>
  <c r="AB59" i="32"/>
  <c r="AC59" i="32"/>
  <c r="AD59" i="32"/>
  <c r="AE59" i="32"/>
  <c r="AF59" i="32"/>
  <c r="AG59" i="32"/>
  <c r="AH59" i="32"/>
  <c r="AI59" i="32"/>
  <c r="AJ59" i="32"/>
  <c r="AK59" i="32"/>
  <c r="AL59" i="32"/>
  <c r="AM59" i="32"/>
  <c r="AN59" i="32"/>
  <c r="AO59" i="32"/>
  <c r="AP59" i="32"/>
  <c r="AQ59" i="32"/>
  <c r="AR59" i="32"/>
  <c r="AS59" i="32"/>
  <c r="AT59" i="32"/>
  <c r="AU59" i="32"/>
  <c r="AV59" i="32"/>
  <c r="AW59" i="32"/>
  <c r="AX59" i="32"/>
  <c r="AY59" i="32"/>
  <c r="AZ59" i="32"/>
  <c r="BA59" i="32"/>
  <c r="BB59" i="32"/>
  <c r="BC59" i="32"/>
  <c r="BD59" i="32"/>
  <c r="BE59" i="32"/>
  <c r="BF59" i="32"/>
  <c r="BG59" i="32"/>
  <c r="BH59" i="32"/>
  <c r="BI59" i="32"/>
  <c r="BJ59" i="32"/>
  <c r="BK59" i="32"/>
  <c r="BL59" i="32"/>
  <c r="BM59" i="32"/>
  <c r="BN59" i="32"/>
  <c r="BO59" i="32"/>
  <c r="BP59" i="32"/>
  <c r="BQ59" i="32"/>
  <c r="BR59" i="32"/>
  <c r="BS59" i="32"/>
  <c r="BT59" i="32"/>
  <c r="BU59" i="32"/>
  <c r="BV59" i="32"/>
  <c r="BW59" i="32"/>
  <c r="BX59" i="32"/>
  <c r="BY59" i="32"/>
  <c r="BZ59" i="32"/>
  <c r="CA59" i="32"/>
  <c r="CB59" i="32"/>
  <c r="CC59" i="32"/>
  <c r="CD59" i="32"/>
  <c r="CE59" i="32"/>
  <c r="CF59" i="32"/>
  <c r="CG59" i="32"/>
  <c r="CH59" i="32"/>
  <c r="CI59" i="32"/>
  <c r="CJ59" i="32"/>
  <c r="CK59" i="32"/>
  <c r="CL59" i="32"/>
  <c r="CM59" i="32"/>
  <c r="CN59" i="32"/>
  <c r="CO59" i="32"/>
  <c r="CP59" i="32"/>
  <c r="CQ59" i="32"/>
  <c r="CR59" i="32"/>
  <c r="CS59" i="32"/>
  <c r="CT59" i="32"/>
  <c r="CU59" i="32"/>
  <c r="CV59" i="32"/>
  <c r="CW59" i="32"/>
  <c r="CX59" i="32"/>
  <c r="CY59" i="32"/>
  <c r="CZ59" i="32"/>
  <c r="DA59" i="32"/>
  <c r="DB59" i="32"/>
  <c r="DC59" i="32"/>
  <c r="DD59" i="32"/>
  <c r="DE59" i="32"/>
  <c r="DF59" i="32"/>
  <c r="DG59" i="32"/>
  <c r="DH59" i="32"/>
  <c r="DI59" i="32"/>
  <c r="DJ59" i="32"/>
  <c r="DK59" i="32"/>
  <c r="DL59" i="32"/>
  <c r="DM59" i="32"/>
  <c r="DN59" i="32"/>
  <c r="DO59" i="32"/>
  <c r="DP59" i="32"/>
  <c r="DQ59" i="32"/>
  <c r="DR59" i="32"/>
  <c r="DS59" i="32"/>
  <c r="DT59" i="32"/>
  <c r="DU59" i="32"/>
  <c r="DV59" i="32"/>
  <c r="DW59" i="32"/>
  <c r="DX59" i="32"/>
  <c r="DY59" i="32"/>
  <c r="DZ59" i="32"/>
  <c r="EA59" i="32"/>
  <c r="EB59" i="32"/>
  <c r="EC59" i="32"/>
  <c r="ED59" i="32"/>
  <c r="EE59" i="32"/>
  <c r="EF59" i="32"/>
  <c r="EG59" i="32"/>
  <c r="EH59" i="32"/>
  <c r="EI59" i="32"/>
  <c r="EJ59" i="32"/>
  <c r="EK59" i="32"/>
  <c r="EL59" i="32"/>
  <c r="EM59" i="32"/>
  <c r="EN59" i="32"/>
  <c r="EO59" i="32"/>
  <c r="EP59" i="32"/>
  <c r="EQ59" i="32"/>
  <c r="ER59" i="32"/>
  <c r="ES59" i="32"/>
  <c r="ET59" i="32"/>
  <c r="EU59" i="32"/>
  <c r="EV59" i="32"/>
  <c r="EW59" i="32"/>
  <c r="EX59" i="32"/>
  <c r="EY59" i="32"/>
  <c r="EZ59" i="32"/>
  <c r="FA59" i="32"/>
  <c r="FB59" i="32"/>
  <c r="FC59" i="32"/>
  <c r="FD59" i="32"/>
  <c r="FE59" i="32"/>
  <c r="FF59" i="32"/>
  <c r="FG59" i="32"/>
  <c r="FH59" i="32"/>
  <c r="FI59" i="32"/>
  <c r="FJ59" i="32"/>
  <c r="FK59" i="32"/>
  <c r="FL59" i="32"/>
  <c r="FM59" i="32"/>
  <c r="FN59" i="32"/>
  <c r="FO59" i="32"/>
  <c r="FP59" i="32"/>
  <c r="FQ59" i="32"/>
  <c r="FR59" i="32"/>
  <c r="FS59" i="32"/>
  <c r="FT59" i="32"/>
  <c r="FU59" i="32"/>
  <c r="FV59" i="32"/>
  <c r="FW59" i="32"/>
  <c r="FX59" i="32"/>
  <c r="FY59" i="32"/>
  <c r="FZ59" i="32"/>
  <c r="GA59" i="32"/>
  <c r="GB59" i="32"/>
  <c r="GC59" i="32"/>
  <c r="GD59" i="32"/>
  <c r="GE59" i="32"/>
  <c r="GF59" i="32"/>
  <c r="GG59" i="32"/>
  <c r="GH59" i="32"/>
  <c r="GI59" i="32"/>
  <c r="GJ59" i="32"/>
  <c r="GK59" i="32"/>
  <c r="GL59" i="32"/>
  <c r="GM59" i="32"/>
  <c r="GN59" i="32"/>
  <c r="GO59" i="32"/>
  <c r="GP59" i="32"/>
  <c r="GQ59" i="32"/>
  <c r="GR59" i="32"/>
  <c r="GS59" i="32"/>
  <c r="GT59" i="32"/>
  <c r="GU59" i="32"/>
  <c r="GV59" i="32"/>
  <c r="GW59" i="32"/>
  <c r="GX59" i="32"/>
  <c r="GY59" i="32"/>
  <c r="GZ59" i="32"/>
  <c r="HA59" i="32"/>
  <c r="HB59" i="32"/>
  <c r="HC59" i="32"/>
  <c r="HD59" i="32"/>
  <c r="HE59" i="32"/>
  <c r="HF59" i="32"/>
  <c r="HG59" i="32"/>
  <c r="HH59" i="32"/>
  <c r="HI59" i="32"/>
  <c r="HJ59" i="32"/>
  <c r="HK59" i="32"/>
  <c r="HL59" i="32"/>
  <c r="HM59" i="32"/>
  <c r="HN59" i="32"/>
  <c r="HO59" i="32"/>
  <c r="HP59" i="32"/>
  <c r="HQ59" i="32"/>
  <c r="HR59" i="32"/>
  <c r="HS59" i="32"/>
  <c r="HT59" i="32"/>
  <c r="HU59" i="32"/>
  <c r="HV59" i="32"/>
  <c r="HW59" i="32"/>
  <c r="HX59" i="32"/>
  <c r="HY59" i="32"/>
  <c r="HZ59" i="32"/>
  <c r="IA59" i="32"/>
  <c r="IB59" i="32"/>
  <c r="IC59" i="32"/>
  <c r="ID59" i="32"/>
  <c r="IE59" i="32"/>
  <c r="IF59" i="32"/>
  <c r="IG59" i="32"/>
  <c r="IH59" i="32"/>
  <c r="II59" i="32"/>
  <c r="IJ59" i="32"/>
  <c r="IK59" i="32"/>
  <c r="IL59" i="32"/>
  <c r="IM59" i="32"/>
  <c r="IN59" i="32"/>
  <c r="IO59" i="32"/>
  <c r="IP59" i="32"/>
  <c r="IQ59" i="32"/>
  <c r="IR59" i="32"/>
  <c r="IS59" i="32"/>
  <c r="IT59" i="32"/>
  <c r="IU59" i="32"/>
  <c r="IV59" i="32"/>
  <c r="A58" i="32"/>
  <c r="B58" i="32"/>
  <c r="C58" i="32"/>
  <c r="D58" i="32"/>
  <c r="E58" i="32"/>
  <c r="F58" i="32"/>
  <c r="G58" i="32"/>
  <c r="H58" i="32"/>
  <c r="I58" i="32"/>
  <c r="J58" i="32"/>
  <c r="K58" i="32"/>
  <c r="L58" i="32"/>
  <c r="M58" i="32"/>
  <c r="N58" i="32"/>
  <c r="O58" i="32"/>
  <c r="P58" i="32"/>
  <c r="Q58" i="32"/>
  <c r="R58" i="32"/>
  <c r="S58" i="32"/>
  <c r="T58" i="32"/>
  <c r="U58" i="32"/>
  <c r="V58" i="32"/>
  <c r="W58" i="32"/>
  <c r="X58" i="32"/>
  <c r="Y58" i="32"/>
  <c r="Z58" i="32"/>
  <c r="AA58" i="32"/>
  <c r="AB58" i="32"/>
  <c r="AC58" i="32"/>
  <c r="AD58" i="32"/>
  <c r="AE58" i="32"/>
  <c r="AF58" i="32"/>
  <c r="AG58" i="32"/>
  <c r="AH58" i="32"/>
  <c r="AI58" i="32"/>
  <c r="AJ58" i="32"/>
  <c r="AK58" i="32"/>
  <c r="AL58" i="32"/>
  <c r="AM58" i="32"/>
  <c r="AN58" i="32"/>
  <c r="AO58" i="32"/>
  <c r="AP58" i="32"/>
  <c r="AQ58" i="32"/>
  <c r="AR58" i="32"/>
  <c r="AS58" i="32"/>
  <c r="AT58" i="32"/>
  <c r="AU58" i="32"/>
  <c r="AV58" i="32"/>
  <c r="AW58" i="32"/>
  <c r="AX58" i="32"/>
  <c r="AY58" i="32"/>
  <c r="AZ58" i="32"/>
  <c r="BA58" i="32"/>
  <c r="BB58" i="32"/>
  <c r="BC58" i="32"/>
  <c r="BD58" i="32"/>
  <c r="BE58" i="32"/>
  <c r="BF58" i="32"/>
  <c r="BG58" i="32"/>
  <c r="BH58" i="32"/>
  <c r="BI58" i="32"/>
  <c r="BJ58" i="32"/>
  <c r="BK58" i="32"/>
  <c r="BL58" i="32"/>
  <c r="BM58" i="32"/>
  <c r="BN58" i="32"/>
  <c r="BO58" i="32"/>
  <c r="BP58" i="32"/>
  <c r="BQ58" i="32"/>
  <c r="BR58" i="32"/>
  <c r="BS58" i="32"/>
  <c r="BT58" i="32"/>
  <c r="BU58" i="32"/>
  <c r="BV58" i="32"/>
  <c r="BW58" i="32"/>
  <c r="BX58" i="32"/>
  <c r="BY58" i="32"/>
  <c r="BZ58" i="32"/>
  <c r="CA58" i="32"/>
  <c r="CB58" i="32"/>
  <c r="CC58" i="32"/>
  <c r="CD58" i="32"/>
  <c r="CE58" i="32"/>
  <c r="CF58" i="32"/>
  <c r="CG58" i="32"/>
  <c r="CH58" i="32"/>
  <c r="CI58" i="32"/>
  <c r="CJ58" i="32"/>
  <c r="CK58" i="32"/>
  <c r="CL58" i="32"/>
  <c r="CM58" i="32"/>
  <c r="CN58" i="32"/>
  <c r="CO58" i="32"/>
  <c r="CP58" i="32"/>
  <c r="CQ58" i="32"/>
  <c r="CR58" i="32"/>
  <c r="CS58" i="32"/>
  <c r="CT58" i="32"/>
  <c r="CU58" i="32"/>
  <c r="CV58" i="32"/>
  <c r="CW58" i="32"/>
  <c r="CX58" i="32"/>
  <c r="CY58" i="32"/>
  <c r="CZ58" i="32"/>
  <c r="DA58" i="32"/>
  <c r="DB58" i="32"/>
  <c r="DC58" i="32"/>
  <c r="DD58" i="32"/>
  <c r="DE58" i="32"/>
  <c r="DF58" i="32"/>
  <c r="DG58" i="32"/>
  <c r="DH58" i="32"/>
  <c r="DI58" i="32"/>
  <c r="DJ58" i="32"/>
  <c r="DK58" i="32"/>
  <c r="DL58" i="32"/>
  <c r="DM58" i="32"/>
  <c r="DN58" i="32"/>
  <c r="DO58" i="32"/>
  <c r="DP58" i="32"/>
  <c r="DQ58" i="32"/>
  <c r="DR58" i="32"/>
  <c r="DS58" i="32"/>
  <c r="DT58" i="32"/>
  <c r="DU58" i="32"/>
  <c r="DV58" i="32"/>
  <c r="DW58" i="32"/>
  <c r="DX58" i="32"/>
  <c r="DY58" i="32"/>
  <c r="DZ58" i="32"/>
  <c r="EA58" i="32"/>
  <c r="EB58" i="32"/>
  <c r="EC58" i="32"/>
  <c r="ED58" i="32"/>
  <c r="EE58" i="32"/>
  <c r="EF58" i="32"/>
  <c r="EG58" i="32"/>
  <c r="EH58" i="32"/>
  <c r="EI58" i="32"/>
  <c r="EJ58" i="32"/>
  <c r="EK58" i="32"/>
  <c r="EL58" i="32"/>
  <c r="EM58" i="32"/>
  <c r="EN58" i="32"/>
  <c r="EO58" i="32"/>
  <c r="EP58" i="32"/>
  <c r="EQ58" i="32"/>
  <c r="ER58" i="32"/>
  <c r="ES58" i="32"/>
  <c r="ET58" i="32"/>
  <c r="EU58" i="32"/>
  <c r="EV58" i="32"/>
  <c r="EW58" i="32"/>
  <c r="EX58" i="32"/>
  <c r="EY58" i="32"/>
  <c r="EZ58" i="32"/>
  <c r="FA58" i="32"/>
  <c r="FB58" i="32"/>
  <c r="FC58" i="32"/>
  <c r="FD58" i="32"/>
  <c r="FE58" i="32"/>
  <c r="FF58" i="32"/>
  <c r="FG58" i="32"/>
  <c r="FH58" i="32"/>
  <c r="FI58" i="32"/>
  <c r="FJ58" i="32"/>
  <c r="FK58" i="32"/>
  <c r="FL58" i="32"/>
  <c r="FM58" i="32"/>
  <c r="FN58" i="32"/>
  <c r="FO58" i="32"/>
  <c r="FP58" i="32"/>
  <c r="FQ58" i="32"/>
  <c r="FR58" i="32"/>
  <c r="FS58" i="32"/>
  <c r="FT58" i="32"/>
  <c r="FU58" i="32"/>
  <c r="FV58" i="32"/>
  <c r="FW58" i="32"/>
  <c r="FX58" i="32"/>
  <c r="FY58" i="32"/>
  <c r="FZ58" i="32"/>
  <c r="GA58" i="32"/>
  <c r="GB58" i="32"/>
  <c r="GC58" i="32"/>
  <c r="GD58" i="32"/>
  <c r="GE58" i="32"/>
  <c r="GF58" i="32"/>
  <c r="GG58" i="32"/>
  <c r="GH58" i="32"/>
  <c r="GI58" i="32"/>
  <c r="GJ58" i="32"/>
  <c r="GK58" i="32"/>
  <c r="GL58" i="32"/>
  <c r="GM58" i="32"/>
  <c r="GN58" i="32"/>
  <c r="GO58" i="32"/>
  <c r="GP58" i="32"/>
  <c r="GQ58" i="32"/>
  <c r="GR58" i="32"/>
  <c r="GS58" i="32"/>
  <c r="GT58" i="32"/>
  <c r="GU58" i="32"/>
  <c r="GV58" i="32"/>
  <c r="GW58" i="32"/>
  <c r="GX58" i="32"/>
  <c r="GY58" i="32"/>
  <c r="GZ58" i="32"/>
  <c r="HA58" i="32"/>
  <c r="HB58" i="32"/>
  <c r="HC58" i="32"/>
  <c r="HD58" i="32"/>
  <c r="HE58" i="32"/>
  <c r="HF58" i="32"/>
  <c r="HG58" i="32"/>
  <c r="HH58" i="32"/>
  <c r="HI58" i="32"/>
  <c r="HJ58" i="32"/>
  <c r="HK58" i="32"/>
  <c r="HL58" i="32"/>
  <c r="HM58" i="32"/>
  <c r="HN58" i="32"/>
  <c r="HO58" i="32"/>
  <c r="HP58" i="32"/>
  <c r="HQ58" i="32"/>
  <c r="HR58" i="32"/>
  <c r="HS58" i="32"/>
  <c r="HT58" i="32"/>
  <c r="HU58" i="32"/>
  <c r="HV58" i="32"/>
  <c r="HW58" i="32"/>
  <c r="HX58" i="32"/>
  <c r="HY58" i="32"/>
  <c r="HZ58" i="32"/>
  <c r="IA58" i="32"/>
  <c r="IB58" i="32"/>
  <c r="IC58" i="32"/>
  <c r="ID58" i="32"/>
  <c r="IE58" i="32"/>
  <c r="IF58" i="32"/>
  <c r="IG58" i="32"/>
  <c r="IH58" i="32"/>
  <c r="II58" i="32"/>
  <c r="IJ58" i="32"/>
  <c r="IK58" i="32"/>
  <c r="IL58" i="32"/>
  <c r="IM58" i="32"/>
  <c r="IN58" i="32"/>
  <c r="IO58" i="32"/>
  <c r="IP58" i="32"/>
  <c r="IQ58" i="32"/>
  <c r="IR58" i="32"/>
  <c r="IS58" i="32"/>
  <c r="IT58" i="32"/>
  <c r="IU58" i="32"/>
  <c r="IV58" i="32"/>
  <c r="A57" i="32"/>
  <c r="B57" i="32"/>
  <c r="C57" i="32"/>
  <c r="D57" i="32"/>
  <c r="E57" i="32"/>
  <c r="F57" i="32"/>
  <c r="G57" i="32"/>
  <c r="H57" i="32"/>
  <c r="I57" i="32"/>
  <c r="J57" i="32"/>
  <c r="K57" i="32"/>
  <c r="L57" i="32"/>
  <c r="M57" i="32"/>
  <c r="N57" i="32"/>
  <c r="O57" i="32"/>
  <c r="P57" i="32"/>
  <c r="Q57" i="32"/>
  <c r="R57" i="32"/>
  <c r="S57" i="32"/>
  <c r="T57" i="32"/>
  <c r="U57" i="32"/>
  <c r="V57" i="32"/>
  <c r="W57" i="32"/>
  <c r="X57" i="32"/>
  <c r="Y57" i="32"/>
  <c r="Z57" i="32"/>
  <c r="AA57" i="32"/>
  <c r="AB57" i="32"/>
  <c r="AC57" i="32"/>
  <c r="AD57" i="32"/>
  <c r="AE57" i="32"/>
  <c r="AF57" i="32"/>
  <c r="AG57" i="32"/>
  <c r="AH57" i="32"/>
  <c r="AI57" i="32"/>
  <c r="AJ57" i="32"/>
  <c r="AK57" i="32"/>
  <c r="AL57" i="32"/>
  <c r="AM57" i="32"/>
  <c r="AN57" i="32"/>
  <c r="AO57" i="32"/>
  <c r="AP57" i="32"/>
  <c r="AQ57" i="32"/>
  <c r="AR57" i="32"/>
  <c r="AS57" i="32"/>
  <c r="AT57" i="32"/>
  <c r="AU57" i="32"/>
  <c r="AV57" i="32"/>
  <c r="AW57" i="32"/>
  <c r="AX57" i="32"/>
  <c r="AY57" i="32"/>
  <c r="AZ57" i="32"/>
  <c r="BA57" i="32"/>
  <c r="BB57" i="32"/>
  <c r="BC57" i="32"/>
  <c r="BD57" i="32"/>
  <c r="BE57" i="32"/>
  <c r="BF57" i="32"/>
  <c r="BG57" i="32"/>
  <c r="BH57" i="32"/>
  <c r="BI57" i="32"/>
  <c r="BJ57" i="32"/>
  <c r="BK57" i="32"/>
  <c r="BL57" i="32"/>
  <c r="BM57" i="32"/>
  <c r="BN57" i="32"/>
  <c r="BO57" i="32"/>
  <c r="BP57" i="32"/>
  <c r="BQ57" i="32"/>
  <c r="BR57" i="32"/>
  <c r="BS57" i="32"/>
  <c r="BT57" i="32"/>
  <c r="BU57" i="32"/>
  <c r="BV57" i="32"/>
  <c r="BW57" i="32"/>
  <c r="BX57" i="32"/>
  <c r="BY57" i="32"/>
  <c r="BZ57" i="32"/>
  <c r="CA57" i="32"/>
  <c r="CB57" i="32"/>
  <c r="CC57" i="32"/>
  <c r="CD57" i="32"/>
  <c r="CE57" i="32"/>
  <c r="CF57" i="32"/>
  <c r="CG57" i="32"/>
  <c r="CH57" i="32"/>
  <c r="CI57" i="32"/>
  <c r="CJ57" i="32"/>
  <c r="CK57" i="32"/>
  <c r="CL57" i="32"/>
  <c r="CM57" i="32"/>
  <c r="CN57" i="32"/>
  <c r="CO57" i="32"/>
  <c r="CP57" i="32"/>
  <c r="CQ57" i="32"/>
  <c r="CR57" i="32"/>
  <c r="CS57" i="32"/>
  <c r="CT57" i="32"/>
  <c r="CU57" i="32"/>
  <c r="CV57" i="32"/>
  <c r="CW57" i="32"/>
  <c r="CX57" i="32"/>
  <c r="CY57" i="32"/>
  <c r="CZ57" i="32"/>
  <c r="DA57" i="32"/>
  <c r="DB57" i="32"/>
  <c r="DC57" i="32"/>
  <c r="DD57" i="32"/>
  <c r="DE57" i="32"/>
  <c r="DF57" i="32"/>
  <c r="DG57" i="32"/>
  <c r="DH57" i="32"/>
  <c r="DI57" i="32"/>
  <c r="DJ57" i="32"/>
  <c r="DK57" i="32"/>
  <c r="DL57" i="32"/>
  <c r="DM57" i="32"/>
  <c r="DN57" i="32"/>
  <c r="DO57" i="32"/>
  <c r="DP57" i="32"/>
  <c r="DQ57" i="32"/>
  <c r="DR57" i="32"/>
  <c r="DS57" i="32"/>
  <c r="DT57" i="32"/>
  <c r="DU57" i="32"/>
  <c r="DV57" i="32"/>
  <c r="DW57" i="32"/>
  <c r="DX57" i="32"/>
  <c r="DY57" i="32"/>
  <c r="DZ57" i="32"/>
  <c r="EA57" i="32"/>
  <c r="EB57" i="32"/>
  <c r="EC57" i="32"/>
  <c r="ED57" i="32"/>
  <c r="EE57" i="32"/>
  <c r="EF57" i="32"/>
  <c r="EG57" i="32"/>
  <c r="EH57" i="32"/>
  <c r="EI57" i="32"/>
  <c r="EJ57" i="32"/>
  <c r="EK57" i="32"/>
  <c r="EL57" i="32"/>
  <c r="EM57" i="32"/>
  <c r="EN57" i="32"/>
  <c r="EO57" i="32"/>
  <c r="EP57" i="32"/>
  <c r="EQ57" i="32"/>
  <c r="ER57" i="32"/>
  <c r="ES57" i="32"/>
  <c r="ET57" i="32"/>
  <c r="EU57" i="32"/>
  <c r="EV57" i="32"/>
  <c r="EW57" i="32"/>
  <c r="EX57" i="32"/>
  <c r="EY57" i="32"/>
  <c r="EZ57" i="32"/>
  <c r="FA57" i="32"/>
  <c r="FB57" i="32"/>
  <c r="FC57" i="32"/>
  <c r="FD57" i="32"/>
  <c r="FE57" i="32"/>
  <c r="FF57" i="32"/>
  <c r="FG57" i="32"/>
  <c r="FH57" i="32"/>
  <c r="FI57" i="32"/>
  <c r="FJ57" i="32"/>
  <c r="FK57" i="32"/>
  <c r="FL57" i="32"/>
  <c r="FM57" i="32"/>
  <c r="FN57" i="32"/>
  <c r="FO57" i="32"/>
  <c r="FP57" i="32"/>
  <c r="FQ57" i="32"/>
  <c r="FR57" i="32"/>
  <c r="FS57" i="32"/>
  <c r="FT57" i="32"/>
  <c r="FU57" i="32"/>
  <c r="FV57" i="32"/>
  <c r="FW57" i="32"/>
  <c r="FX57" i="32"/>
  <c r="FY57" i="32"/>
  <c r="FZ57" i="32"/>
  <c r="GA57" i="32"/>
  <c r="GB57" i="32"/>
  <c r="GC57" i="32"/>
  <c r="GD57" i="32"/>
  <c r="GE57" i="32"/>
  <c r="GF57" i="32"/>
  <c r="GG57" i="32"/>
  <c r="GH57" i="32"/>
  <c r="GI57" i="32"/>
  <c r="GJ57" i="32"/>
  <c r="GK57" i="32"/>
  <c r="GL57" i="32"/>
  <c r="GM57" i="32"/>
  <c r="GN57" i="32"/>
  <c r="GO57" i="32"/>
  <c r="GP57" i="32"/>
  <c r="GQ57" i="32"/>
  <c r="GR57" i="32"/>
  <c r="GS57" i="32"/>
  <c r="GT57" i="32"/>
  <c r="GU57" i="32"/>
  <c r="GV57" i="32"/>
  <c r="GW57" i="32"/>
  <c r="GX57" i="32"/>
  <c r="GY57" i="32"/>
  <c r="GZ57" i="32"/>
  <c r="HA57" i="32"/>
  <c r="HB57" i="32"/>
  <c r="HC57" i="32"/>
  <c r="HD57" i="32"/>
  <c r="HE57" i="32"/>
  <c r="HF57" i="32"/>
  <c r="HG57" i="32"/>
  <c r="HH57" i="32"/>
  <c r="HI57" i="32"/>
  <c r="HJ57" i="32"/>
  <c r="HK57" i="32"/>
  <c r="HL57" i="32"/>
  <c r="HM57" i="32"/>
  <c r="HN57" i="32"/>
  <c r="HO57" i="32"/>
  <c r="HP57" i="32"/>
  <c r="HQ57" i="32"/>
  <c r="HR57" i="32"/>
  <c r="HS57" i="32"/>
  <c r="HT57" i="32"/>
  <c r="HU57" i="32"/>
  <c r="HV57" i="32"/>
  <c r="HW57" i="32"/>
  <c r="HX57" i="32"/>
  <c r="HY57" i="32"/>
  <c r="HZ57" i="32"/>
  <c r="IA57" i="32"/>
  <c r="IB57" i="32"/>
  <c r="IC57" i="32"/>
  <c r="ID57" i="32"/>
  <c r="IE57" i="32"/>
  <c r="IF57" i="32"/>
  <c r="IG57" i="32"/>
  <c r="IH57" i="32"/>
  <c r="II57" i="32"/>
  <c r="IJ57" i="32"/>
  <c r="IK57" i="32"/>
  <c r="IL57" i="32"/>
  <c r="IM57" i="32"/>
  <c r="IN57" i="32"/>
  <c r="IO57" i="32"/>
  <c r="IP57" i="32"/>
  <c r="IQ57" i="32"/>
  <c r="IR57" i="32"/>
  <c r="IS57" i="32"/>
  <c r="IT57" i="32"/>
  <c r="IU57" i="32"/>
  <c r="IV57" i="32"/>
  <c r="A56" i="32"/>
  <c r="B56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P56" i="32"/>
  <c r="Q56" i="32"/>
  <c r="R56" i="32"/>
  <c r="S56" i="32"/>
  <c r="T56" i="32"/>
  <c r="U56" i="32"/>
  <c r="V56" i="32"/>
  <c r="W56" i="32"/>
  <c r="X56" i="32"/>
  <c r="Y56" i="32"/>
  <c r="Z56" i="32"/>
  <c r="AA56" i="32"/>
  <c r="AB56" i="32"/>
  <c r="AC56" i="32"/>
  <c r="AD56" i="32"/>
  <c r="AE56" i="32"/>
  <c r="AF56" i="32"/>
  <c r="AG56" i="32"/>
  <c r="AH56" i="32"/>
  <c r="AI56" i="32"/>
  <c r="AJ56" i="32"/>
  <c r="AK56" i="32"/>
  <c r="AL56" i="32"/>
  <c r="AM56" i="32"/>
  <c r="AN56" i="32"/>
  <c r="AO56" i="32"/>
  <c r="AP56" i="32"/>
  <c r="AQ56" i="32"/>
  <c r="AR56" i="32"/>
  <c r="AS56" i="32"/>
  <c r="AT56" i="32"/>
  <c r="AU56" i="32"/>
  <c r="AV56" i="32"/>
  <c r="AW56" i="32"/>
  <c r="AX56" i="32"/>
  <c r="AY56" i="32"/>
  <c r="AZ56" i="32"/>
  <c r="BA56" i="32"/>
  <c r="BB56" i="32"/>
  <c r="BC56" i="32"/>
  <c r="BD56" i="32"/>
  <c r="BE56" i="32"/>
  <c r="BF56" i="32"/>
  <c r="BG56" i="32"/>
  <c r="BH56" i="32"/>
  <c r="BI56" i="32"/>
  <c r="BJ56" i="32"/>
  <c r="BK56" i="32"/>
  <c r="BL56" i="32"/>
  <c r="BM56" i="32"/>
  <c r="BN56" i="32"/>
  <c r="BO56" i="32"/>
  <c r="BP56" i="32"/>
  <c r="BQ56" i="32"/>
  <c r="BR56" i="32"/>
  <c r="BS56" i="32"/>
  <c r="BT56" i="32"/>
  <c r="BU56" i="32"/>
  <c r="BV56" i="32"/>
  <c r="BW56" i="32"/>
  <c r="BX56" i="32"/>
  <c r="BY56" i="32"/>
  <c r="BZ56" i="32"/>
  <c r="CA56" i="32"/>
  <c r="CB56" i="32"/>
  <c r="CC56" i="32"/>
  <c r="CD56" i="32"/>
  <c r="CE56" i="32"/>
  <c r="CF56" i="32"/>
  <c r="CG56" i="32"/>
  <c r="CH56" i="32"/>
  <c r="CI56" i="32"/>
  <c r="CJ56" i="32"/>
  <c r="CK56" i="32"/>
  <c r="CL56" i="32"/>
  <c r="CM56" i="32"/>
  <c r="CN56" i="32"/>
  <c r="CO56" i="32"/>
  <c r="CP56" i="32"/>
  <c r="CQ56" i="32"/>
  <c r="CR56" i="32"/>
  <c r="CS56" i="32"/>
  <c r="CT56" i="32"/>
  <c r="CU56" i="32"/>
  <c r="CV56" i="32"/>
  <c r="CW56" i="32"/>
  <c r="CX56" i="32"/>
  <c r="CY56" i="32"/>
  <c r="CZ56" i="32"/>
  <c r="DA56" i="32"/>
  <c r="DB56" i="32"/>
  <c r="DC56" i="32"/>
  <c r="DD56" i="32"/>
  <c r="DE56" i="32"/>
  <c r="DF56" i="32"/>
  <c r="DG56" i="32"/>
  <c r="DH56" i="32"/>
  <c r="DI56" i="32"/>
  <c r="DJ56" i="32"/>
  <c r="DK56" i="32"/>
  <c r="DL56" i="32"/>
  <c r="DM56" i="32"/>
  <c r="DN56" i="32"/>
  <c r="DO56" i="32"/>
  <c r="DP56" i="32"/>
  <c r="DQ56" i="32"/>
  <c r="DR56" i="32"/>
  <c r="DS56" i="32"/>
  <c r="DT56" i="32"/>
  <c r="DU56" i="32"/>
  <c r="DV56" i="32"/>
  <c r="DW56" i="32"/>
  <c r="DX56" i="32"/>
  <c r="DY56" i="32"/>
  <c r="DZ56" i="32"/>
  <c r="EA56" i="32"/>
  <c r="EB56" i="32"/>
  <c r="EC56" i="32"/>
  <c r="ED56" i="32"/>
  <c r="EE56" i="32"/>
  <c r="EF56" i="32"/>
  <c r="EG56" i="32"/>
  <c r="EH56" i="32"/>
  <c r="EI56" i="32"/>
  <c r="EJ56" i="32"/>
  <c r="EK56" i="32"/>
  <c r="EL56" i="32"/>
  <c r="EM56" i="32"/>
  <c r="EN56" i="32"/>
  <c r="EO56" i="32"/>
  <c r="EP56" i="32"/>
  <c r="EQ56" i="32"/>
  <c r="ER56" i="32"/>
  <c r="ES56" i="32"/>
  <c r="ET56" i="32"/>
  <c r="EU56" i="32"/>
  <c r="EV56" i="32"/>
  <c r="EW56" i="32"/>
  <c r="EX56" i="32"/>
  <c r="EY56" i="32"/>
  <c r="EZ56" i="32"/>
  <c r="FA56" i="32"/>
  <c r="FB56" i="32"/>
  <c r="FC56" i="32"/>
  <c r="FD56" i="32"/>
  <c r="FE56" i="32"/>
  <c r="FF56" i="32"/>
  <c r="FG56" i="32"/>
  <c r="FH56" i="32"/>
  <c r="FI56" i="32"/>
  <c r="FJ56" i="32"/>
  <c r="FK56" i="32"/>
  <c r="FL56" i="32"/>
  <c r="FM56" i="32"/>
  <c r="FN56" i="32"/>
  <c r="FO56" i="32"/>
  <c r="FP56" i="32"/>
  <c r="FQ56" i="32"/>
  <c r="FR56" i="32"/>
  <c r="FS56" i="32"/>
  <c r="FT56" i="32"/>
  <c r="FU56" i="32"/>
  <c r="FV56" i="32"/>
  <c r="FW56" i="32"/>
  <c r="FX56" i="32"/>
  <c r="FY56" i="32"/>
  <c r="FZ56" i="32"/>
  <c r="GA56" i="32"/>
  <c r="GB56" i="32"/>
  <c r="GC56" i="32"/>
  <c r="GD56" i="32"/>
  <c r="GE56" i="32"/>
  <c r="GF56" i="32"/>
  <c r="GG56" i="32"/>
  <c r="GH56" i="32"/>
  <c r="GI56" i="32"/>
  <c r="GJ56" i="32"/>
  <c r="GK56" i="32"/>
  <c r="GL56" i="32"/>
  <c r="GM56" i="32"/>
  <c r="GN56" i="32"/>
  <c r="GO56" i="32"/>
  <c r="GP56" i="32"/>
  <c r="GQ56" i="32"/>
  <c r="GR56" i="32"/>
  <c r="GS56" i="32"/>
  <c r="GT56" i="32"/>
  <c r="GU56" i="32"/>
  <c r="GV56" i="32"/>
  <c r="GW56" i="32"/>
  <c r="GX56" i="32"/>
  <c r="GY56" i="32"/>
  <c r="GZ56" i="32"/>
  <c r="HA56" i="32"/>
  <c r="HB56" i="32"/>
  <c r="HC56" i="32"/>
  <c r="HD56" i="32"/>
  <c r="HE56" i="32"/>
  <c r="HF56" i="32"/>
  <c r="HG56" i="32"/>
  <c r="HH56" i="32"/>
  <c r="HI56" i="32"/>
  <c r="HJ56" i="32"/>
  <c r="HK56" i="32"/>
  <c r="HL56" i="32"/>
  <c r="HM56" i="32"/>
  <c r="HN56" i="32"/>
  <c r="HO56" i="32"/>
  <c r="HP56" i="32"/>
  <c r="HQ56" i="32"/>
  <c r="HR56" i="32"/>
  <c r="HS56" i="32"/>
  <c r="HT56" i="32"/>
  <c r="HU56" i="32"/>
  <c r="HV56" i="32"/>
  <c r="HW56" i="32"/>
  <c r="HX56" i="32"/>
  <c r="HY56" i="32"/>
  <c r="HZ56" i="32"/>
  <c r="IA56" i="32"/>
  <c r="IB56" i="32"/>
  <c r="IC56" i="32"/>
  <c r="ID56" i="32"/>
  <c r="IE56" i="32"/>
  <c r="IF56" i="32"/>
  <c r="IG56" i="32"/>
  <c r="IH56" i="32"/>
  <c r="II56" i="32"/>
  <c r="IJ56" i="32"/>
  <c r="IK56" i="32"/>
  <c r="IL56" i="32"/>
  <c r="IM56" i="32"/>
  <c r="IN56" i="32"/>
  <c r="IO56" i="32"/>
  <c r="IP56" i="32"/>
  <c r="IQ56" i="32"/>
  <c r="IR56" i="32"/>
  <c r="IS56" i="32"/>
  <c r="IT56" i="32"/>
  <c r="IU56" i="32"/>
  <c r="IV56" i="32"/>
  <c r="A55" i="32"/>
  <c r="B55" i="32"/>
  <c r="C55" i="32"/>
  <c r="D55" i="32"/>
  <c r="E55" i="32"/>
  <c r="F55" i="32"/>
  <c r="G55" i="32"/>
  <c r="H55" i="32"/>
  <c r="I55" i="32"/>
  <c r="J55" i="32"/>
  <c r="K55" i="32"/>
  <c r="L55" i="32"/>
  <c r="M55" i="32"/>
  <c r="N55" i="32"/>
  <c r="O55" i="32"/>
  <c r="P55" i="32"/>
  <c r="Q55" i="32"/>
  <c r="R55" i="32"/>
  <c r="S55" i="32"/>
  <c r="T55" i="32"/>
  <c r="U55" i="32"/>
  <c r="V55" i="32"/>
  <c r="W55" i="32"/>
  <c r="X55" i="32"/>
  <c r="Y55" i="32"/>
  <c r="Z55" i="32"/>
  <c r="AA55" i="32"/>
  <c r="AB55" i="32"/>
  <c r="AC55" i="32"/>
  <c r="AD55" i="32"/>
  <c r="AE55" i="32"/>
  <c r="AF55" i="32"/>
  <c r="AG55" i="32"/>
  <c r="AH55" i="32"/>
  <c r="AI55" i="32"/>
  <c r="AJ55" i="32"/>
  <c r="AK55" i="32"/>
  <c r="AL55" i="32"/>
  <c r="AM55" i="32"/>
  <c r="AN55" i="32"/>
  <c r="AO55" i="32"/>
  <c r="AP55" i="32"/>
  <c r="AQ55" i="32"/>
  <c r="AR55" i="32"/>
  <c r="AS55" i="32"/>
  <c r="AT55" i="32"/>
  <c r="AU55" i="32"/>
  <c r="AV55" i="32"/>
  <c r="AW55" i="32"/>
  <c r="AX55" i="32"/>
  <c r="AY55" i="32"/>
  <c r="AZ55" i="32"/>
  <c r="BA55" i="32"/>
  <c r="BB55" i="32"/>
  <c r="BC55" i="32"/>
  <c r="BD55" i="32"/>
  <c r="BE55" i="32"/>
  <c r="BF55" i="32"/>
  <c r="BG55" i="32"/>
  <c r="BH55" i="32"/>
  <c r="BI55" i="32"/>
  <c r="BJ55" i="32"/>
  <c r="BK55" i="32"/>
  <c r="BL55" i="32"/>
  <c r="BM55" i="32"/>
  <c r="BN55" i="32"/>
  <c r="BO55" i="32"/>
  <c r="BP55" i="32"/>
  <c r="BQ55" i="32"/>
  <c r="BR55" i="32"/>
  <c r="BS55" i="32"/>
  <c r="BT55" i="32"/>
  <c r="BU55" i="32"/>
  <c r="BV55" i="32"/>
  <c r="BW55" i="32"/>
  <c r="BX55" i="32"/>
  <c r="BY55" i="32"/>
  <c r="BZ55" i="32"/>
  <c r="CA55" i="32"/>
  <c r="CB55" i="32"/>
  <c r="CC55" i="32"/>
  <c r="CD55" i="32"/>
  <c r="CE55" i="32"/>
  <c r="CF55" i="32"/>
  <c r="CG55" i="32"/>
  <c r="CH55" i="32"/>
  <c r="CI55" i="32"/>
  <c r="CJ55" i="32"/>
  <c r="CK55" i="32"/>
  <c r="CL55" i="32"/>
  <c r="CM55" i="32"/>
  <c r="CN55" i="32"/>
  <c r="CO55" i="32"/>
  <c r="CP55" i="32"/>
  <c r="CQ55" i="32"/>
  <c r="CR55" i="32"/>
  <c r="CS55" i="32"/>
  <c r="CT55" i="32"/>
  <c r="CU55" i="32"/>
  <c r="CV55" i="32"/>
  <c r="CW55" i="32"/>
  <c r="CX55" i="32"/>
  <c r="CY55" i="32"/>
  <c r="CZ55" i="32"/>
  <c r="DA55" i="32"/>
  <c r="DB55" i="32"/>
  <c r="DC55" i="32"/>
  <c r="DD55" i="32"/>
  <c r="DE55" i="32"/>
  <c r="DF55" i="32"/>
  <c r="DG55" i="32"/>
  <c r="DH55" i="32"/>
  <c r="DI55" i="32"/>
  <c r="DJ55" i="32"/>
  <c r="DK55" i="32"/>
  <c r="DL55" i="32"/>
  <c r="DM55" i="32"/>
  <c r="DN55" i="32"/>
  <c r="DO55" i="32"/>
  <c r="DP55" i="32"/>
  <c r="DQ55" i="32"/>
  <c r="DR55" i="32"/>
  <c r="DS55" i="32"/>
  <c r="DT55" i="32"/>
  <c r="DU55" i="32"/>
  <c r="DV55" i="32"/>
  <c r="DW55" i="32"/>
  <c r="DX55" i="32"/>
  <c r="DY55" i="32"/>
  <c r="DZ55" i="32"/>
  <c r="EA55" i="32"/>
  <c r="EB55" i="32"/>
  <c r="EC55" i="32"/>
  <c r="ED55" i="32"/>
  <c r="EE55" i="32"/>
  <c r="EF55" i="32"/>
  <c r="EG55" i="32"/>
  <c r="EH55" i="32"/>
  <c r="EI55" i="32"/>
  <c r="EJ55" i="32"/>
  <c r="EK55" i="32"/>
  <c r="EL55" i="32"/>
  <c r="EM55" i="32"/>
  <c r="EN55" i="32"/>
  <c r="EO55" i="32"/>
  <c r="EP55" i="32"/>
  <c r="EQ55" i="32"/>
  <c r="ER55" i="32"/>
  <c r="ES55" i="32"/>
  <c r="ET55" i="32"/>
  <c r="EU55" i="32"/>
  <c r="EV55" i="32"/>
  <c r="EW55" i="32"/>
  <c r="EX55" i="32"/>
  <c r="EY55" i="32"/>
  <c r="EZ55" i="32"/>
  <c r="FA55" i="32"/>
  <c r="FB55" i="32"/>
  <c r="FC55" i="32"/>
  <c r="FD55" i="32"/>
  <c r="FE55" i="32"/>
  <c r="FF55" i="32"/>
  <c r="FG55" i="32"/>
  <c r="FH55" i="32"/>
  <c r="FI55" i="32"/>
  <c r="FJ55" i="32"/>
  <c r="FK55" i="32"/>
  <c r="FL55" i="32"/>
  <c r="FM55" i="32"/>
  <c r="FN55" i="32"/>
  <c r="FO55" i="32"/>
  <c r="FP55" i="32"/>
  <c r="FQ55" i="32"/>
  <c r="FR55" i="32"/>
  <c r="FS55" i="32"/>
  <c r="FT55" i="32"/>
  <c r="FU55" i="32"/>
  <c r="FV55" i="32"/>
  <c r="FW55" i="32"/>
  <c r="FX55" i="32"/>
  <c r="FY55" i="32"/>
  <c r="FZ55" i="32"/>
  <c r="GA55" i="32"/>
  <c r="GB55" i="32"/>
  <c r="GC55" i="32"/>
  <c r="GD55" i="32"/>
  <c r="GE55" i="32"/>
  <c r="GF55" i="32"/>
  <c r="GG55" i="32"/>
  <c r="GH55" i="32"/>
  <c r="GI55" i="32"/>
  <c r="GJ55" i="32"/>
  <c r="GK55" i="32"/>
  <c r="GL55" i="32"/>
  <c r="GM55" i="32"/>
  <c r="GN55" i="32"/>
  <c r="GO55" i="32"/>
  <c r="GP55" i="32"/>
  <c r="GQ55" i="32"/>
  <c r="GR55" i="32"/>
  <c r="GS55" i="32"/>
  <c r="GT55" i="32"/>
  <c r="GU55" i="32"/>
  <c r="GV55" i="32"/>
  <c r="GW55" i="32"/>
  <c r="GX55" i="32"/>
  <c r="GY55" i="32"/>
  <c r="GZ55" i="32"/>
  <c r="HA55" i="32"/>
  <c r="HB55" i="32"/>
  <c r="HC55" i="32"/>
  <c r="HD55" i="32"/>
  <c r="HE55" i="32"/>
  <c r="HF55" i="32"/>
  <c r="HG55" i="32"/>
  <c r="HH55" i="32"/>
  <c r="HI55" i="32"/>
  <c r="HJ55" i="32"/>
  <c r="HK55" i="32"/>
  <c r="HL55" i="32"/>
  <c r="HM55" i="32"/>
  <c r="HN55" i="32"/>
  <c r="HO55" i="32"/>
  <c r="HP55" i="32"/>
  <c r="HQ55" i="32"/>
  <c r="HR55" i="32"/>
  <c r="HS55" i="32"/>
  <c r="HT55" i="32"/>
  <c r="HU55" i="32"/>
  <c r="HV55" i="32"/>
  <c r="HW55" i="32"/>
  <c r="HX55" i="32"/>
  <c r="HY55" i="32"/>
  <c r="HZ55" i="32"/>
  <c r="IA55" i="32"/>
  <c r="IB55" i="32"/>
  <c r="IC55" i="32"/>
  <c r="ID55" i="32"/>
  <c r="IE55" i="32"/>
  <c r="IF55" i="32"/>
  <c r="IG55" i="32"/>
  <c r="IH55" i="32"/>
  <c r="II55" i="32"/>
  <c r="IJ55" i="32"/>
  <c r="IK55" i="32"/>
  <c r="IL55" i="32"/>
  <c r="IM55" i="32"/>
  <c r="IN55" i="32"/>
  <c r="IO55" i="32"/>
  <c r="IP55" i="32"/>
  <c r="IQ55" i="32"/>
  <c r="IR55" i="32"/>
  <c r="IS55" i="32"/>
  <c r="IT55" i="32"/>
  <c r="IU55" i="32"/>
  <c r="IV55" i="32"/>
  <c r="A54" i="32"/>
  <c r="B54" i="32"/>
  <c r="C54" i="32"/>
  <c r="D54" i="32"/>
  <c r="E54" i="32"/>
  <c r="F54" i="32"/>
  <c r="G54" i="32"/>
  <c r="H54" i="32"/>
  <c r="I54" i="32"/>
  <c r="J54" i="32"/>
  <c r="K54" i="32"/>
  <c r="L54" i="32"/>
  <c r="M54" i="32"/>
  <c r="N54" i="32"/>
  <c r="O54" i="32"/>
  <c r="P54" i="32"/>
  <c r="Q54" i="32"/>
  <c r="R54" i="32"/>
  <c r="S54" i="32"/>
  <c r="T54" i="32"/>
  <c r="U54" i="32"/>
  <c r="V54" i="32"/>
  <c r="W54" i="32"/>
  <c r="X54" i="32"/>
  <c r="Y54" i="32"/>
  <c r="Z54" i="32"/>
  <c r="AA54" i="32"/>
  <c r="AB54" i="32"/>
  <c r="AC54" i="32"/>
  <c r="AD54" i="32"/>
  <c r="AE54" i="32"/>
  <c r="AF54" i="32"/>
  <c r="AG54" i="32"/>
  <c r="AH54" i="32"/>
  <c r="AI54" i="32"/>
  <c r="AJ54" i="32"/>
  <c r="AK54" i="32"/>
  <c r="AL54" i="32"/>
  <c r="AM54" i="32"/>
  <c r="AN54" i="32"/>
  <c r="AO54" i="32"/>
  <c r="AP54" i="32"/>
  <c r="AQ54" i="32"/>
  <c r="AR54" i="32"/>
  <c r="AS54" i="32"/>
  <c r="AT54" i="32"/>
  <c r="AU54" i="32"/>
  <c r="AV54" i="32"/>
  <c r="AW54" i="32"/>
  <c r="AX54" i="32"/>
  <c r="AY54" i="32"/>
  <c r="AZ54" i="32"/>
  <c r="BA54" i="32"/>
  <c r="BB54" i="32"/>
  <c r="BC54" i="32"/>
  <c r="BD54" i="32"/>
  <c r="BE54" i="32"/>
  <c r="BF54" i="32"/>
  <c r="BG54" i="32"/>
  <c r="BH54" i="32"/>
  <c r="BI54" i="32"/>
  <c r="BJ54" i="32"/>
  <c r="BK54" i="32"/>
  <c r="BL54" i="32"/>
  <c r="BM54" i="32"/>
  <c r="BN54" i="32"/>
  <c r="BO54" i="32"/>
  <c r="BP54" i="32"/>
  <c r="BQ54" i="32"/>
  <c r="BR54" i="32"/>
  <c r="BS54" i="32"/>
  <c r="BT54" i="32"/>
  <c r="BU54" i="32"/>
  <c r="BV54" i="32"/>
  <c r="BW54" i="32"/>
  <c r="BX54" i="32"/>
  <c r="BY54" i="32"/>
  <c r="BZ54" i="32"/>
  <c r="CA54" i="32"/>
  <c r="CB54" i="32"/>
  <c r="CC54" i="32"/>
  <c r="CD54" i="32"/>
  <c r="CE54" i="32"/>
  <c r="CF54" i="32"/>
  <c r="CG54" i="32"/>
  <c r="CH54" i="32"/>
  <c r="CI54" i="32"/>
  <c r="CJ54" i="32"/>
  <c r="CK54" i="32"/>
  <c r="CL54" i="32"/>
  <c r="CM54" i="32"/>
  <c r="CN54" i="32"/>
  <c r="CO54" i="32"/>
  <c r="CP54" i="32"/>
  <c r="CQ54" i="32"/>
  <c r="CR54" i="32"/>
  <c r="CS54" i="32"/>
  <c r="CT54" i="32"/>
  <c r="CU54" i="32"/>
  <c r="CV54" i="32"/>
  <c r="CW54" i="32"/>
  <c r="CX54" i="32"/>
  <c r="CY54" i="32"/>
  <c r="CZ54" i="32"/>
  <c r="DA54" i="32"/>
  <c r="DB54" i="32"/>
  <c r="DC54" i="32"/>
  <c r="DD54" i="32"/>
  <c r="DE54" i="32"/>
  <c r="DF54" i="32"/>
  <c r="DG54" i="32"/>
  <c r="DH54" i="32"/>
  <c r="DI54" i="32"/>
  <c r="DJ54" i="32"/>
  <c r="DK54" i="32"/>
  <c r="DL54" i="32"/>
  <c r="DM54" i="32"/>
  <c r="DN54" i="32"/>
  <c r="DO54" i="32"/>
  <c r="DP54" i="32"/>
  <c r="DQ54" i="32"/>
  <c r="DR54" i="32"/>
  <c r="DS54" i="32"/>
  <c r="DT54" i="32"/>
  <c r="DU54" i="32"/>
  <c r="DV54" i="32"/>
  <c r="DW54" i="32"/>
  <c r="DX54" i="32"/>
  <c r="DY54" i="32"/>
  <c r="DZ54" i="32"/>
  <c r="EA54" i="32"/>
  <c r="EB54" i="32"/>
  <c r="EC54" i="32"/>
  <c r="ED54" i="32"/>
  <c r="EE54" i="32"/>
  <c r="EF54" i="32"/>
  <c r="EG54" i="32"/>
  <c r="EH54" i="32"/>
  <c r="EI54" i="32"/>
  <c r="EJ54" i="32"/>
  <c r="EK54" i="32"/>
  <c r="EL54" i="32"/>
  <c r="EM54" i="32"/>
  <c r="EN54" i="32"/>
  <c r="EO54" i="32"/>
  <c r="EP54" i="32"/>
  <c r="EQ54" i="32"/>
  <c r="ER54" i="32"/>
  <c r="ES54" i="32"/>
  <c r="ET54" i="32"/>
  <c r="EU54" i="32"/>
  <c r="EV54" i="32"/>
  <c r="EW54" i="32"/>
  <c r="EX54" i="32"/>
  <c r="EY54" i="32"/>
  <c r="EZ54" i="32"/>
  <c r="FA54" i="32"/>
  <c r="FB54" i="32"/>
  <c r="FC54" i="32"/>
  <c r="FD54" i="32"/>
  <c r="FE54" i="32"/>
  <c r="FF54" i="32"/>
  <c r="FG54" i="32"/>
  <c r="FH54" i="32"/>
  <c r="FI54" i="32"/>
  <c r="FJ54" i="32"/>
  <c r="FK54" i="32"/>
  <c r="FL54" i="32"/>
  <c r="FM54" i="32"/>
  <c r="FN54" i="32"/>
  <c r="FO54" i="32"/>
  <c r="FP54" i="32"/>
  <c r="FQ54" i="32"/>
  <c r="FR54" i="32"/>
  <c r="FS54" i="32"/>
  <c r="FT54" i="32"/>
  <c r="FU54" i="32"/>
  <c r="FV54" i="32"/>
  <c r="FW54" i="32"/>
  <c r="FX54" i="32"/>
  <c r="FY54" i="32"/>
  <c r="FZ54" i="32"/>
  <c r="GA54" i="32"/>
  <c r="GB54" i="32"/>
  <c r="GC54" i="32"/>
  <c r="GD54" i="32"/>
  <c r="GE54" i="32"/>
  <c r="GF54" i="32"/>
  <c r="GG54" i="32"/>
  <c r="GH54" i="32"/>
  <c r="GI54" i="32"/>
  <c r="GJ54" i="32"/>
  <c r="GK54" i="32"/>
  <c r="GL54" i="32"/>
  <c r="GM54" i="32"/>
  <c r="GN54" i="32"/>
  <c r="GO54" i="32"/>
  <c r="GP54" i="32"/>
  <c r="GQ54" i="32"/>
  <c r="GR54" i="32"/>
  <c r="GS54" i="32"/>
  <c r="GT54" i="32"/>
  <c r="GU54" i="32"/>
  <c r="GV54" i="32"/>
  <c r="GW54" i="32"/>
  <c r="GX54" i="32"/>
  <c r="GY54" i="32"/>
  <c r="GZ54" i="32"/>
  <c r="HA54" i="32"/>
  <c r="HB54" i="32"/>
  <c r="HC54" i="32"/>
  <c r="HD54" i="32"/>
  <c r="HE54" i="32"/>
  <c r="HF54" i="32"/>
  <c r="HG54" i="32"/>
  <c r="HH54" i="32"/>
  <c r="HI54" i="32"/>
  <c r="HJ54" i="32"/>
  <c r="HK54" i="32"/>
  <c r="HL54" i="32"/>
  <c r="HM54" i="32"/>
  <c r="HN54" i="32"/>
  <c r="HO54" i="32"/>
  <c r="HP54" i="32"/>
  <c r="HQ54" i="32"/>
  <c r="HR54" i="32"/>
  <c r="HS54" i="32"/>
  <c r="HT54" i="32"/>
  <c r="HU54" i="32"/>
  <c r="HV54" i="32"/>
  <c r="HW54" i="32"/>
  <c r="HX54" i="32"/>
  <c r="HY54" i="32"/>
  <c r="HZ54" i="32"/>
  <c r="IA54" i="32"/>
  <c r="IB54" i="32"/>
  <c r="IC54" i="32"/>
  <c r="ID54" i="32"/>
  <c r="IE54" i="32"/>
  <c r="IF54" i="32"/>
  <c r="IG54" i="32"/>
  <c r="IH54" i="32"/>
  <c r="II54" i="32"/>
  <c r="IJ54" i="32"/>
  <c r="IK54" i="32"/>
  <c r="IL54" i="32"/>
  <c r="IM54" i="32"/>
  <c r="IN54" i="32"/>
  <c r="IO54" i="32"/>
  <c r="IP54" i="32"/>
  <c r="IQ54" i="32"/>
  <c r="IR54" i="32"/>
  <c r="IS54" i="32"/>
  <c r="IT54" i="32"/>
  <c r="IU54" i="32"/>
  <c r="IV54" i="32"/>
  <c r="A53" i="32"/>
  <c r="B53" i="32"/>
  <c r="C53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AZ53" i="32"/>
  <c r="BA53" i="32"/>
  <c r="BB53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BT53" i="32"/>
  <c r="BU53" i="32"/>
  <c r="BV53" i="32"/>
  <c r="BW53" i="32"/>
  <c r="BX53" i="32"/>
  <c r="BY53" i="32"/>
  <c r="BZ53" i="32"/>
  <c r="CA53" i="32"/>
  <c r="CB53" i="32"/>
  <c r="CC53" i="32"/>
  <c r="CD53" i="32"/>
  <c r="CE53" i="32"/>
  <c r="CF53" i="32"/>
  <c r="CG53" i="32"/>
  <c r="CH53" i="32"/>
  <c r="CI53" i="32"/>
  <c r="CJ53" i="32"/>
  <c r="CK53" i="32"/>
  <c r="CL53" i="32"/>
  <c r="CM53" i="32"/>
  <c r="CN53" i="32"/>
  <c r="CO53" i="32"/>
  <c r="CP53" i="32"/>
  <c r="CQ53" i="32"/>
  <c r="CR53" i="32"/>
  <c r="CS53" i="32"/>
  <c r="CT53" i="32"/>
  <c r="CU53" i="32"/>
  <c r="CV53" i="32"/>
  <c r="CW53" i="32"/>
  <c r="CX53" i="32"/>
  <c r="CY53" i="32"/>
  <c r="CZ53" i="32"/>
  <c r="DA53" i="32"/>
  <c r="DB53" i="32"/>
  <c r="DC53" i="32"/>
  <c r="DD53" i="32"/>
  <c r="DE53" i="32"/>
  <c r="DF53" i="32"/>
  <c r="DG53" i="32"/>
  <c r="DH53" i="32"/>
  <c r="DI53" i="32"/>
  <c r="DJ53" i="32"/>
  <c r="DK53" i="32"/>
  <c r="DL53" i="32"/>
  <c r="DM53" i="32"/>
  <c r="DN53" i="32"/>
  <c r="DO53" i="32"/>
  <c r="DP53" i="32"/>
  <c r="DQ53" i="32"/>
  <c r="DR53" i="32"/>
  <c r="DS53" i="32"/>
  <c r="DT53" i="32"/>
  <c r="DU53" i="32"/>
  <c r="DV53" i="32"/>
  <c r="DW53" i="32"/>
  <c r="DX53" i="32"/>
  <c r="DY53" i="32"/>
  <c r="DZ53" i="32"/>
  <c r="EA53" i="32"/>
  <c r="EB53" i="32"/>
  <c r="EC53" i="32"/>
  <c r="ED53" i="32"/>
  <c r="EE53" i="32"/>
  <c r="EF53" i="32"/>
  <c r="EG53" i="32"/>
  <c r="EH53" i="32"/>
  <c r="EI53" i="32"/>
  <c r="EJ53" i="32"/>
  <c r="EK53" i="32"/>
  <c r="EL53" i="32"/>
  <c r="EM53" i="32"/>
  <c r="EN53" i="32"/>
  <c r="EO53" i="32"/>
  <c r="EP53" i="32"/>
  <c r="EQ53" i="32"/>
  <c r="ER53" i="32"/>
  <c r="ES53" i="32"/>
  <c r="ET53" i="32"/>
  <c r="EU53" i="32"/>
  <c r="EV53" i="32"/>
  <c r="EW53" i="32"/>
  <c r="EX53" i="32"/>
  <c r="EY53" i="32"/>
  <c r="EZ53" i="32"/>
  <c r="FA53" i="32"/>
  <c r="FB53" i="32"/>
  <c r="FC53" i="32"/>
  <c r="FD53" i="32"/>
  <c r="FE53" i="32"/>
  <c r="FF53" i="32"/>
  <c r="FG53" i="32"/>
  <c r="FH53" i="32"/>
  <c r="FI53" i="32"/>
  <c r="FJ53" i="32"/>
  <c r="FK53" i="32"/>
  <c r="FL53" i="32"/>
  <c r="FM53" i="32"/>
  <c r="FN53" i="32"/>
  <c r="FO53" i="32"/>
  <c r="FP53" i="32"/>
  <c r="FQ53" i="32"/>
  <c r="FR53" i="32"/>
  <c r="FS53" i="32"/>
  <c r="FT53" i="32"/>
  <c r="FU53" i="32"/>
  <c r="FV53" i="32"/>
  <c r="FW53" i="32"/>
  <c r="FX53" i="32"/>
  <c r="FY53" i="32"/>
  <c r="FZ53" i="32"/>
  <c r="GA53" i="32"/>
  <c r="GB53" i="32"/>
  <c r="GC53" i="32"/>
  <c r="GD53" i="32"/>
  <c r="GE53" i="32"/>
  <c r="GF53" i="32"/>
  <c r="GG53" i="32"/>
  <c r="GH53" i="32"/>
  <c r="GI53" i="32"/>
  <c r="GJ53" i="32"/>
  <c r="GK53" i="32"/>
  <c r="GL53" i="32"/>
  <c r="GM53" i="32"/>
  <c r="GN53" i="32"/>
  <c r="GO53" i="32"/>
  <c r="GP53" i="32"/>
  <c r="GQ53" i="32"/>
  <c r="GR53" i="32"/>
  <c r="GS53" i="32"/>
  <c r="GT53" i="32"/>
  <c r="GU53" i="32"/>
  <c r="GV53" i="32"/>
  <c r="GW53" i="32"/>
  <c r="GX53" i="32"/>
  <c r="GY53" i="32"/>
  <c r="GZ53" i="32"/>
  <c r="HA53" i="32"/>
  <c r="HB53" i="32"/>
  <c r="HC53" i="32"/>
  <c r="HD53" i="32"/>
  <c r="HE53" i="32"/>
  <c r="HF53" i="32"/>
  <c r="HG53" i="32"/>
  <c r="HH53" i="32"/>
  <c r="HI53" i="32"/>
  <c r="HJ53" i="32"/>
  <c r="HK53" i="32"/>
  <c r="HL53" i="32"/>
  <c r="HM53" i="32"/>
  <c r="HN53" i="32"/>
  <c r="HO53" i="32"/>
  <c r="HP53" i="32"/>
  <c r="HQ53" i="32"/>
  <c r="HR53" i="32"/>
  <c r="HS53" i="32"/>
  <c r="HT53" i="32"/>
  <c r="HU53" i="32"/>
  <c r="HV53" i="32"/>
  <c r="HW53" i="32"/>
  <c r="HX53" i="32"/>
  <c r="HY53" i="32"/>
  <c r="HZ53" i="32"/>
  <c r="IA53" i="32"/>
  <c r="IB53" i="32"/>
  <c r="IC53" i="32"/>
  <c r="ID53" i="32"/>
  <c r="IE53" i="32"/>
  <c r="IF53" i="32"/>
  <c r="IG53" i="32"/>
  <c r="IH53" i="32"/>
  <c r="II53" i="32"/>
  <c r="IJ53" i="32"/>
  <c r="IK53" i="32"/>
  <c r="IL53" i="32"/>
  <c r="IM53" i="32"/>
  <c r="IN53" i="32"/>
  <c r="IO53" i="32"/>
  <c r="IP53" i="32"/>
  <c r="IQ53" i="32"/>
  <c r="IR53" i="32"/>
  <c r="IS53" i="32"/>
  <c r="IT53" i="32"/>
  <c r="IU53" i="32"/>
  <c r="IV53" i="32"/>
  <c r="A52" i="32"/>
  <c r="B52" i="32"/>
  <c r="C52" i="32"/>
  <c r="D52" i="32"/>
  <c r="E52" i="32"/>
  <c r="F52" i="32"/>
  <c r="G52" i="32"/>
  <c r="H52" i="32"/>
  <c r="I52" i="32"/>
  <c r="J52" i="32"/>
  <c r="K52" i="32"/>
  <c r="L52" i="32"/>
  <c r="M52" i="32"/>
  <c r="N52" i="32"/>
  <c r="O52" i="32"/>
  <c r="P52" i="32"/>
  <c r="Q52" i="32"/>
  <c r="R52" i="32"/>
  <c r="S52" i="32"/>
  <c r="T52" i="32"/>
  <c r="U52" i="32"/>
  <c r="V52" i="32"/>
  <c r="W52" i="32"/>
  <c r="X52" i="32"/>
  <c r="Y52" i="32"/>
  <c r="Z52" i="32"/>
  <c r="AA52" i="32"/>
  <c r="AB52" i="32"/>
  <c r="AC52" i="32"/>
  <c r="AD52" i="32"/>
  <c r="AE52" i="32"/>
  <c r="AF52" i="32"/>
  <c r="AG52" i="32"/>
  <c r="AH52" i="32"/>
  <c r="AI52" i="32"/>
  <c r="AJ52" i="32"/>
  <c r="AK52" i="32"/>
  <c r="AL52" i="32"/>
  <c r="AM52" i="32"/>
  <c r="AN52" i="32"/>
  <c r="AO52" i="32"/>
  <c r="AP52" i="32"/>
  <c r="AQ52" i="32"/>
  <c r="AR52" i="32"/>
  <c r="AS52" i="32"/>
  <c r="AT52" i="32"/>
  <c r="AU52" i="32"/>
  <c r="AV52" i="32"/>
  <c r="AW52" i="32"/>
  <c r="AX52" i="32"/>
  <c r="AY52" i="32"/>
  <c r="AZ52" i="32"/>
  <c r="BA52" i="32"/>
  <c r="BB52" i="32"/>
  <c r="BC52" i="32"/>
  <c r="BD52" i="32"/>
  <c r="BE52" i="32"/>
  <c r="BF52" i="32"/>
  <c r="BG52" i="32"/>
  <c r="BH52" i="32"/>
  <c r="BI52" i="32"/>
  <c r="BJ52" i="32"/>
  <c r="BK52" i="32"/>
  <c r="BL52" i="32"/>
  <c r="BM52" i="32"/>
  <c r="BN52" i="32"/>
  <c r="BO52" i="32"/>
  <c r="BP52" i="32"/>
  <c r="BQ52" i="32"/>
  <c r="BR52" i="32"/>
  <c r="BS52" i="32"/>
  <c r="BT52" i="32"/>
  <c r="BU52" i="32"/>
  <c r="BV52" i="32"/>
  <c r="BW52" i="32"/>
  <c r="BX52" i="32"/>
  <c r="BY52" i="32"/>
  <c r="BZ52" i="32"/>
  <c r="CA52" i="32"/>
  <c r="CB52" i="32"/>
  <c r="CC52" i="32"/>
  <c r="CD52" i="32"/>
  <c r="CE52" i="32"/>
  <c r="CF52" i="32"/>
  <c r="CG52" i="32"/>
  <c r="CH52" i="32"/>
  <c r="CI52" i="32"/>
  <c r="CJ52" i="32"/>
  <c r="CK52" i="32"/>
  <c r="CL52" i="32"/>
  <c r="CM52" i="32"/>
  <c r="CN52" i="32"/>
  <c r="CO52" i="32"/>
  <c r="CP52" i="32"/>
  <c r="CQ52" i="32"/>
  <c r="CR52" i="32"/>
  <c r="CS52" i="32"/>
  <c r="CT52" i="32"/>
  <c r="CU52" i="32"/>
  <c r="CV52" i="32"/>
  <c r="CW52" i="32"/>
  <c r="CX52" i="32"/>
  <c r="CY52" i="32"/>
  <c r="CZ52" i="32"/>
  <c r="DA52" i="32"/>
  <c r="DB52" i="32"/>
  <c r="DC52" i="32"/>
  <c r="DD52" i="32"/>
  <c r="DE52" i="32"/>
  <c r="DF52" i="32"/>
  <c r="DG52" i="32"/>
  <c r="DH52" i="32"/>
  <c r="DI52" i="32"/>
  <c r="DJ52" i="32"/>
  <c r="DK52" i="32"/>
  <c r="DL52" i="32"/>
  <c r="DM52" i="32"/>
  <c r="DN52" i="32"/>
  <c r="DO52" i="32"/>
  <c r="DP52" i="32"/>
  <c r="DQ52" i="32"/>
  <c r="DR52" i="32"/>
  <c r="DS52" i="32"/>
  <c r="DT52" i="32"/>
  <c r="DU52" i="32"/>
  <c r="DV52" i="32"/>
  <c r="DW52" i="32"/>
  <c r="DX52" i="32"/>
  <c r="DY52" i="32"/>
  <c r="DZ52" i="32"/>
  <c r="EA52" i="32"/>
  <c r="EB52" i="32"/>
  <c r="EC52" i="32"/>
  <c r="ED52" i="32"/>
  <c r="EE52" i="32"/>
  <c r="EF52" i="32"/>
  <c r="EG52" i="32"/>
  <c r="EH52" i="32"/>
  <c r="EI52" i="32"/>
  <c r="EJ52" i="32"/>
  <c r="EK52" i="32"/>
  <c r="EL52" i="32"/>
  <c r="EM52" i="32"/>
  <c r="EN52" i="32"/>
  <c r="EO52" i="32"/>
  <c r="EP52" i="32"/>
  <c r="EQ52" i="32"/>
  <c r="ER52" i="32"/>
  <c r="ES52" i="32"/>
  <c r="ET52" i="32"/>
  <c r="EU52" i="32"/>
  <c r="EV52" i="32"/>
  <c r="EW52" i="32"/>
  <c r="EX52" i="32"/>
  <c r="EY52" i="32"/>
  <c r="EZ52" i="32"/>
  <c r="FA52" i="32"/>
  <c r="FB52" i="32"/>
  <c r="FC52" i="32"/>
  <c r="FD52" i="32"/>
  <c r="FE52" i="32"/>
  <c r="FF52" i="32"/>
  <c r="FG52" i="32"/>
  <c r="FH52" i="32"/>
  <c r="FI52" i="32"/>
  <c r="FJ52" i="32"/>
  <c r="FK52" i="32"/>
  <c r="FL52" i="32"/>
  <c r="FM52" i="32"/>
  <c r="FN52" i="32"/>
  <c r="FO52" i="32"/>
  <c r="FP52" i="32"/>
  <c r="FQ52" i="32"/>
  <c r="FR52" i="32"/>
  <c r="FS52" i="32"/>
  <c r="FT52" i="32"/>
  <c r="FU52" i="32"/>
  <c r="FV52" i="32"/>
  <c r="FW52" i="32"/>
  <c r="FX52" i="32"/>
  <c r="FY52" i="32"/>
  <c r="FZ52" i="32"/>
  <c r="GA52" i="32"/>
  <c r="GB52" i="32"/>
  <c r="GC52" i="32"/>
  <c r="GD52" i="32"/>
  <c r="GE52" i="32"/>
  <c r="GF52" i="32"/>
  <c r="GG52" i="32"/>
  <c r="GH52" i="32"/>
  <c r="GI52" i="32"/>
  <c r="GJ52" i="32"/>
  <c r="GK52" i="32"/>
  <c r="GL52" i="32"/>
  <c r="GM52" i="32"/>
  <c r="GN52" i="32"/>
  <c r="GO52" i="32"/>
  <c r="GP52" i="32"/>
  <c r="GQ52" i="32"/>
  <c r="GR52" i="32"/>
  <c r="GS52" i="32"/>
  <c r="GT52" i="32"/>
  <c r="GU52" i="32"/>
  <c r="GV52" i="32"/>
  <c r="GW52" i="32"/>
  <c r="GX52" i="32"/>
  <c r="GY52" i="32"/>
  <c r="GZ52" i="32"/>
  <c r="HA52" i="32"/>
  <c r="HB52" i="32"/>
  <c r="HC52" i="32"/>
  <c r="HD52" i="32"/>
  <c r="HE52" i="32"/>
  <c r="HF52" i="32"/>
  <c r="HG52" i="32"/>
  <c r="HH52" i="32"/>
  <c r="HI52" i="32"/>
  <c r="HJ52" i="32"/>
  <c r="HK52" i="32"/>
  <c r="HL52" i="32"/>
  <c r="HM52" i="32"/>
  <c r="HN52" i="32"/>
  <c r="HO52" i="32"/>
  <c r="HP52" i="32"/>
  <c r="HQ52" i="32"/>
  <c r="HR52" i="32"/>
  <c r="HS52" i="32"/>
  <c r="HT52" i="32"/>
  <c r="HU52" i="32"/>
  <c r="HV52" i="32"/>
  <c r="HW52" i="32"/>
  <c r="HX52" i="32"/>
  <c r="HY52" i="32"/>
  <c r="HZ52" i="32"/>
  <c r="IA52" i="32"/>
  <c r="IB52" i="32"/>
  <c r="IC52" i="32"/>
  <c r="ID52" i="32"/>
  <c r="IE52" i="32"/>
  <c r="IF52" i="32"/>
  <c r="IG52" i="32"/>
  <c r="IH52" i="32"/>
  <c r="II52" i="32"/>
  <c r="IJ52" i="32"/>
  <c r="IK52" i="32"/>
  <c r="IL52" i="32"/>
  <c r="IM52" i="32"/>
  <c r="IN52" i="32"/>
  <c r="IO52" i="32"/>
  <c r="IP52" i="32"/>
  <c r="IQ52" i="32"/>
  <c r="IR52" i="32"/>
  <c r="IS52" i="32"/>
  <c r="IT52" i="32"/>
  <c r="IU52" i="32"/>
  <c r="IV52" i="32"/>
  <c r="A51" i="32"/>
  <c r="B51" i="32"/>
  <c r="C51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V51" i="32"/>
  <c r="W51" i="32"/>
  <c r="X51" i="32"/>
  <c r="Y51" i="32"/>
  <c r="Z51" i="32"/>
  <c r="AA51" i="32"/>
  <c r="AB51" i="32"/>
  <c r="AC51" i="32"/>
  <c r="AD51" i="32"/>
  <c r="AE51" i="32"/>
  <c r="AF51" i="32"/>
  <c r="AG51" i="32"/>
  <c r="AH51" i="32"/>
  <c r="AI51" i="32"/>
  <c r="AJ51" i="32"/>
  <c r="AK51" i="32"/>
  <c r="AL51" i="32"/>
  <c r="AM51" i="32"/>
  <c r="AN51" i="32"/>
  <c r="AO51" i="32"/>
  <c r="AP51" i="32"/>
  <c r="AQ51" i="32"/>
  <c r="AR51" i="32"/>
  <c r="AS51" i="32"/>
  <c r="AT51" i="32"/>
  <c r="AU51" i="32"/>
  <c r="AV51" i="32"/>
  <c r="AW51" i="32"/>
  <c r="AX51" i="32"/>
  <c r="AY51" i="32"/>
  <c r="AZ51" i="32"/>
  <c r="BA51" i="32"/>
  <c r="BB51" i="32"/>
  <c r="BC51" i="32"/>
  <c r="BD51" i="32"/>
  <c r="BE51" i="32"/>
  <c r="BF51" i="32"/>
  <c r="BG51" i="32"/>
  <c r="BH51" i="32"/>
  <c r="BI51" i="32"/>
  <c r="BJ51" i="32"/>
  <c r="BK51" i="32"/>
  <c r="BL51" i="32"/>
  <c r="BM51" i="32"/>
  <c r="BN51" i="32"/>
  <c r="BO51" i="32"/>
  <c r="BP51" i="32"/>
  <c r="BQ51" i="32"/>
  <c r="BR51" i="32"/>
  <c r="BS51" i="32"/>
  <c r="BT51" i="32"/>
  <c r="BU51" i="32"/>
  <c r="BV51" i="32"/>
  <c r="BW51" i="32"/>
  <c r="BX51" i="32"/>
  <c r="BY51" i="32"/>
  <c r="BZ51" i="32"/>
  <c r="CA51" i="32"/>
  <c r="CB51" i="32"/>
  <c r="CC51" i="32"/>
  <c r="CD51" i="32"/>
  <c r="CE51" i="32"/>
  <c r="CF51" i="32"/>
  <c r="CG51" i="32"/>
  <c r="CH51" i="32"/>
  <c r="CI51" i="32"/>
  <c r="CJ51" i="32"/>
  <c r="CK51" i="32"/>
  <c r="CL51" i="32"/>
  <c r="CM51" i="32"/>
  <c r="CN51" i="32"/>
  <c r="CO51" i="32"/>
  <c r="CP51" i="32"/>
  <c r="CQ51" i="32"/>
  <c r="CR51" i="32"/>
  <c r="CS51" i="32"/>
  <c r="CT51" i="32"/>
  <c r="CU51" i="32"/>
  <c r="CV51" i="32"/>
  <c r="CW51" i="32"/>
  <c r="CX51" i="32"/>
  <c r="CY51" i="32"/>
  <c r="CZ51" i="32"/>
  <c r="DA51" i="32"/>
  <c r="DB51" i="32"/>
  <c r="DC51" i="32"/>
  <c r="DD51" i="32"/>
  <c r="DE51" i="32"/>
  <c r="DF51" i="32"/>
  <c r="DG51" i="32"/>
  <c r="DH51" i="32"/>
  <c r="DI51" i="32"/>
  <c r="DJ51" i="32"/>
  <c r="DK51" i="32"/>
  <c r="DL51" i="32"/>
  <c r="DM51" i="32"/>
  <c r="DN51" i="32"/>
  <c r="DO51" i="32"/>
  <c r="DP51" i="32"/>
  <c r="DQ51" i="32"/>
  <c r="DR51" i="32"/>
  <c r="DS51" i="32"/>
  <c r="DT51" i="32"/>
  <c r="DU51" i="32"/>
  <c r="DV51" i="32"/>
  <c r="DW51" i="32"/>
  <c r="DX51" i="32"/>
  <c r="DY51" i="32"/>
  <c r="DZ51" i="32"/>
  <c r="EA51" i="32"/>
  <c r="EB51" i="32"/>
  <c r="EC51" i="32"/>
  <c r="ED51" i="32"/>
  <c r="EE51" i="32"/>
  <c r="EF51" i="32"/>
  <c r="EG51" i="32"/>
  <c r="EH51" i="32"/>
  <c r="EI51" i="32"/>
  <c r="EJ51" i="32"/>
  <c r="EK51" i="32"/>
  <c r="EL51" i="32"/>
  <c r="EM51" i="32"/>
  <c r="EN51" i="32"/>
  <c r="EO51" i="32"/>
  <c r="EP51" i="32"/>
  <c r="EQ51" i="32"/>
  <c r="ER51" i="32"/>
  <c r="ES51" i="32"/>
  <c r="ET51" i="32"/>
  <c r="EU51" i="32"/>
  <c r="EV51" i="32"/>
  <c r="EW51" i="32"/>
  <c r="EX51" i="32"/>
  <c r="EY51" i="32"/>
  <c r="EZ51" i="32"/>
  <c r="FA51" i="32"/>
  <c r="FB51" i="32"/>
  <c r="FC51" i="32"/>
  <c r="FD51" i="32"/>
  <c r="FE51" i="32"/>
  <c r="FF51" i="32"/>
  <c r="FG51" i="32"/>
  <c r="FH51" i="32"/>
  <c r="FI51" i="32"/>
  <c r="FJ51" i="32"/>
  <c r="FK51" i="32"/>
  <c r="FL51" i="32"/>
  <c r="FM51" i="32"/>
  <c r="FN51" i="32"/>
  <c r="FO51" i="32"/>
  <c r="FP51" i="32"/>
  <c r="FQ51" i="32"/>
  <c r="FR51" i="32"/>
  <c r="FS51" i="32"/>
  <c r="FT51" i="32"/>
  <c r="FU51" i="32"/>
  <c r="FV51" i="32"/>
  <c r="FW51" i="32"/>
  <c r="FX51" i="32"/>
  <c r="FY51" i="32"/>
  <c r="FZ51" i="32"/>
  <c r="GA51" i="32"/>
  <c r="GB51" i="32"/>
  <c r="GC51" i="32"/>
  <c r="GD51" i="32"/>
  <c r="GE51" i="32"/>
  <c r="GF51" i="32"/>
  <c r="GG51" i="32"/>
  <c r="GH51" i="32"/>
  <c r="GI51" i="32"/>
  <c r="GJ51" i="32"/>
  <c r="GK51" i="32"/>
  <c r="GL51" i="32"/>
  <c r="GM51" i="32"/>
  <c r="GN51" i="32"/>
  <c r="GO51" i="32"/>
  <c r="GP51" i="32"/>
  <c r="GQ51" i="32"/>
  <c r="GR51" i="32"/>
  <c r="GS51" i="32"/>
  <c r="GT51" i="32"/>
  <c r="GU51" i="32"/>
  <c r="GV51" i="32"/>
  <c r="GW51" i="32"/>
  <c r="GX51" i="32"/>
  <c r="GY51" i="32"/>
  <c r="GZ51" i="32"/>
  <c r="HA51" i="32"/>
  <c r="HB51" i="32"/>
  <c r="HC51" i="32"/>
  <c r="HD51" i="32"/>
  <c r="HE51" i="32"/>
  <c r="HF51" i="32"/>
  <c r="HG51" i="32"/>
  <c r="HH51" i="32"/>
  <c r="HI51" i="32"/>
  <c r="HJ51" i="32"/>
  <c r="HK51" i="32"/>
  <c r="HL51" i="32"/>
  <c r="HM51" i="32"/>
  <c r="HN51" i="32"/>
  <c r="HO51" i="32"/>
  <c r="HP51" i="32"/>
  <c r="HQ51" i="32"/>
  <c r="HR51" i="32"/>
  <c r="HS51" i="32"/>
  <c r="HT51" i="32"/>
  <c r="HU51" i="32"/>
  <c r="HV51" i="32"/>
  <c r="HW51" i="32"/>
  <c r="HX51" i="32"/>
  <c r="HY51" i="32"/>
  <c r="HZ51" i="32"/>
  <c r="IA51" i="32"/>
  <c r="IB51" i="32"/>
  <c r="IC51" i="32"/>
  <c r="ID51" i="32"/>
  <c r="IE51" i="32"/>
  <c r="IF51" i="32"/>
  <c r="IG51" i="32"/>
  <c r="IH51" i="32"/>
  <c r="II51" i="32"/>
  <c r="IJ51" i="32"/>
  <c r="IK51" i="32"/>
  <c r="IL51" i="32"/>
  <c r="IM51" i="32"/>
  <c r="IN51" i="32"/>
  <c r="IO51" i="32"/>
  <c r="IP51" i="32"/>
  <c r="IQ51" i="32"/>
  <c r="IR51" i="32"/>
  <c r="IS51" i="32"/>
  <c r="IT51" i="32"/>
  <c r="IU51" i="32"/>
  <c r="IV51" i="32"/>
  <c r="A50" i="32"/>
  <c r="B50" i="32"/>
  <c r="C50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AG50" i="32"/>
  <c r="AH50" i="32"/>
  <c r="AI50" i="32"/>
  <c r="AJ50" i="32"/>
  <c r="AK50" i="32"/>
  <c r="AL50" i="32"/>
  <c r="AM50" i="32"/>
  <c r="AN50" i="32"/>
  <c r="AO50" i="32"/>
  <c r="AP50" i="32"/>
  <c r="AQ50" i="32"/>
  <c r="AR50" i="32"/>
  <c r="AS50" i="32"/>
  <c r="AT50" i="32"/>
  <c r="AU50" i="32"/>
  <c r="AV50" i="32"/>
  <c r="AW50" i="32"/>
  <c r="AX50" i="32"/>
  <c r="AY50" i="32"/>
  <c r="AZ50" i="32"/>
  <c r="BA50" i="32"/>
  <c r="BB50" i="32"/>
  <c r="BC50" i="32"/>
  <c r="BD50" i="32"/>
  <c r="BE50" i="32"/>
  <c r="BF50" i="32"/>
  <c r="BG50" i="32"/>
  <c r="BH50" i="32"/>
  <c r="BI50" i="32"/>
  <c r="BJ50" i="32"/>
  <c r="BK50" i="32"/>
  <c r="BL50" i="32"/>
  <c r="BM50" i="32"/>
  <c r="BN50" i="32"/>
  <c r="BO50" i="32"/>
  <c r="BP50" i="32"/>
  <c r="BQ50" i="32"/>
  <c r="BR50" i="32"/>
  <c r="BS50" i="32"/>
  <c r="BT50" i="32"/>
  <c r="BU50" i="32"/>
  <c r="BV50" i="32"/>
  <c r="BW50" i="32"/>
  <c r="BX50" i="32"/>
  <c r="BY50" i="32"/>
  <c r="BZ50" i="32"/>
  <c r="CA50" i="32"/>
  <c r="CB50" i="32"/>
  <c r="CC50" i="32"/>
  <c r="CD50" i="32"/>
  <c r="CE50" i="32"/>
  <c r="CF50" i="32"/>
  <c r="CG50" i="32"/>
  <c r="CH50" i="32"/>
  <c r="CI50" i="32"/>
  <c r="CJ50" i="32"/>
  <c r="CK50" i="32"/>
  <c r="CL50" i="32"/>
  <c r="CM50" i="32"/>
  <c r="CN50" i="32"/>
  <c r="CO50" i="32"/>
  <c r="CP50" i="32"/>
  <c r="CQ50" i="32"/>
  <c r="CR50" i="32"/>
  <c r="CS50" i="32"/>
  <c r="CT50" i="32"/>
  <c r="CU50" i="32"/>
  <c r="CV50" i="32"/>
  <c r="CW50" i="32"/>
  <c r="CX50" i="32"/>
  <c r="CY50" i="32"/>
  <c r="CZ50" i="32"/>
  <c r="DA50" i="32"/>
  <c r="DB50" i="32"/>
  <c r="DC50" i="32"/>
  <c r="DD50" i="32"/>
  <c r="DE50" i="32"/>
  <c r="DF50" i="32"/>
  <c r="DG50" i="32"/>
  <c r="DH50" i="32"/>
  <c r="DI50" i="32"/>
  <c r="DJ50" i="32"/>
  <c r="DK50" i="32"/>
  <c r="DL50" i="32"/>
  <c r="DM50" i="32"/>
  <c r="DN50" i="32"/>
  <c r="DO50" i="32"/>
  <c r="DP50" i="32"/>
  <c r="DQ50" i="32"/>
  <c r="DR50" i="32"/>
  <c r="DS50" i="32"/>
  <c r="DT50" i="32"/>
  <c r="DU50" i="32"/>
  <c r="DV50" i="32"/>
  <c r="DW50" i="32"/>
  <c r="DX50" i="32"/>
  <c r="DY50" i="32"/>
  <c r="DZ50" i="32"/>
  <c r="EA50" i="32"/>
  <c r="EB50" i="32"/>
  <c r="EC50" i="32"/>
  <c r="ED50" i="32"/>
  <c r="EE50" i="32"/>
  <c r="EF50" i="32"/>
  <c r="EG50" i="32"/>
  <c r="EH50" i="32"/>
  <c r="EI50" i="32"/>
  <c r="EJ50" i="32"/>
  <c r="EK50" i="32"/>
  <c r="EL50" i="32"/>
  <c r="EM50" i="32"/>
  <c r="EN50" i="32"/>
  <c r="EO50" i="32"/>
  <c r="EP50" i="32"/>
  <c r="EQ50" i="32"/>
  <c r="ER50" i="32"/>
  <c r="ES50" i="32"/>
  <c r="ET50" i="32"/>
  <c r="EU50" i="32"/>
  <c r="EV50" i="32"/>
  <c r="EW50" i="32"/>
  <c r="EX50" i="32"/>
  <c r="EY50" i="32"/>
  <c r="EZ50" i="32"/>
  <c r="FA50" i="32"/>
  <c r="FB50" i="32"/>
  <c r="FC50" i="32"/>
  <c r="FD50" i="32"/>
  <c r="FE50" i="32"/>
  <c r="FF50" i="32"/>
  <c r="FG50" i="32"/>
  <c r="FH50" i="32"/>
  <c r="FI50" i="32"/>
  <c r="FJ50" i="32"/>
  <c r="FK50" i="32"/>
  <c r="FL50" i="32"/>
  <c r="FM50" i="32"/>
  <c r="FN50" i="32"/>
  <c r="FO50" i="32"/>
  <c r="FP50" i="32"/>
  <c r="FQ50" i="32"/>
  <c r="FR50" i="32"/>
  <c r="FS50" i="32"/>
  <c r="FT50" i="32"/>
  <c r="FU50" i="32"/>
  <c r="FV50" i="32"/>
  <c r="FW50" i="32"/>
  <c r="FX50" i="32"/>
  <c r="FY50" i="32"/>
  <c r="FZ50" i="32"/>
  <c r="GA50" i="32"/>
  <c r="GB50" i="32"/>
  <c r="GC50" i="32"/>
  <c r="GD50" i="32"/>
  <c r="GE50" i="32"/>
  <c r="GF50" i="32"/>
  <c r="GG50" i="32"/>
  <c r="GH50" i="32"/>
  <c r="GI50" i="32"/>
  <c r="GJ50" i="32"/>
  <c r="GK50" i="32"/>
  <c r="GL50" i="32"/>
  <c r="GM50" i="32"/>
  <c r="GN50" i="32"/>
  <c r="GO50" i="32"/>
  <c r="GP50" i="32"/>
  <c r="GQ50" i="32"/>
  <c r="GR50" i="32"/>
  <c r="GS50" i="32"/>
  <c r="GT50" i="32"/>
  <c r="GU50" i="32"/>
  <c r="GV50" i="32"/>
  <c r="GW50" i="32"/>
  <c r="GX50" i="32"/>
  <c r="GY50" i="32"/>
  <c r="GZ50" i="32"/>
  <c r="HA50" i="32"/>
  <c r="HB50" i="32"/>
  <c r="HC50" i="32"/>
  <c r="HD50" i="32"/>
  <c r="HE50" i="32"/>
  <c r="HF50" i="32"/>
  <c r="HG50" i="32"/>
  <c r="HH50" i="32"/>
  <c r="HI50" i="32"/>
  <c r="HJ50" i="32"/>
  <c r="HK50" i="32"/>
  <c r="HL50" i="32"/>
  <c r="HM50" i="32"/>
  <c r="HN50" i="32"/>
  <c r="HO50" i="32"/>
  <c r="HP50" i="32"/>
  <c r="HQ50" i="32"/>
  <c r="HR50" i="32"/>
  <c r="HS50" i="32"/>
  <c r="HT50" i="32"/>
  <c r="HU50" i="32"/>
  <c r="HV50" i="32"/>
  <c r="HW50" i="32"/>
  <c r="HX50" i="32"/>
  <c r="HY50" i="32"/>
  <c r="HZ50" i="32"/>
  <c r="IA50" i="32"/>
  <c r="IB50" i="32"/>
  <c r="IC50" i="32"/>
  <c r="ID50" i="32"/>
  <c r="IE50" i="32"/>
  <c r="IF50" i="32"/>
  <c r="IG50" i="32"/>
  <c r="IH50" i="32"/>
  <c r="II50" i="32"/>
  <c r="IJ50" i="32"/>
  <c r="IK50" i="32"/>
  <c r="IL50" i="32"/>
  <c r="IM50" i="32"/>
  <c r="IN50" i="32"/>
  <c r="IO50" i="32"/>
  <c r="IP50" i="32"/>
  <c r="IQ50" i="32"/>
  <c r="IR50" i="32"/>
  <c r="IS50" i="32"/>
  <c r="IT50" i="32"/>
  <c r="IU50" i="32"/>
  <c r="IV50" i="32"/>
  <c r="A49" i="32"/>
  <c r="B49" i="32"/>
  <c r="C49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V49" i="32"/>
  <c r="W49" i="32"/>
  <c r="X49" i="32"/>
  <c r="Y49" i="32"/>
  <c r="Z49" i="32"/>
  <c r="AA49" i="32"/>
  <c r="AB49" i="32"/>
  <c r="AC49" i="32"/>
  <c r="AD49" i="32"/>
  <c r="AE49" i="32"/>
  <c r="AF49" i="32"/>
  <c r="AG49" i="32"/>
  <c r="AH49" i="32"/>
  <c r="AI49" i="32"/>
  <c r="AJ49" i="32"/>
  <c r="AK49" i="32"/>
  <c r="AL49" i="32"/>
  <c r="AM49" i="32"/>
  <c r="AN49" i="32"/>
  <c r="AO49" i="32"/>
  <c r="AP49" i="32"/>
  <c r="AQ49" i="32"/>
  <c r="AR49" i="32"/>
  <c r="AS49" i="32"/>
  <c r="AT49" i="32"/>
  <c r="AU49" i="32"/>
  <c r="AV49" i="32"/>
  <c r="AW49" i="32"/>
  <c r="AX49" i="32"/>
  <c r="AY49" i="32"/>
  <c r="AZ49" i="32"/>
  <c r="BA49" i="32"/>
  <c r="BB49" i="32"/>
  <c r="BC49" i="32"/>
  <c r="BD49" i="32"/>
  <c r="BE49" i="32"/>
  <c r="BF49" i="32"/>
  <c r="BG49" i="32"/>
  <c r="BH49" i="32"/>
  <c r="BI49" i="32"/>
  <c r="BJ49" i="32"/>
  <c r="BK49" i="32"/>
  <c r="BL49" i="32"/>
  <c r="BM49" i="32"/>
  <c r="BN49" i="32"/>
  <c r="BO49" i="32"/>
  <c r="BP49" i="32"/>
  <c r="BQ49" i="32"/>
  <c r="BR49" i="32"/>
  <c r="BS49" i="32"/>
  <c r="BT49" i="32"/>
  <c r="BU49" i="32"/>
  <c r="BV49" i="32"/>
  <c r="BW49" i="32"/>
  <c r="BX49" i="32"/>
  <c r="BY49" i="32"/>
  <c r="BZ49" i="32"/>
  <c r="CA49" i="32"/>
  <c r="CB49" i="32"/>
  <c r="CC49" i="32"/>
  <c r="CD49" i="32"/>
  <c r="CE49" i="32"/>
  <c r="CF49" i="32"/>
  <c r="CG49" i="32"/>
  <c r="CH49" i="32"/>
  <c r="CI49" i="32"/>
  <c r="CJ49" i="32"/>
  <c r="CK49" i="32"/>
  <c r="CL49" i="32"/>
  <c r="CM49" i="32"/>
  <c r="CN49" i="32"/>
  <c r="CO49" i="32"/>
  <c r="CP49" i="32"/>
  <c r="CQ49" i="32"/>
  <c r="CR49" i="32"/>
  <c r="CS49" i="32"/>
  <c r="CT49" i="32"/>
  <c r="CU49" i="32"/>
  <c r="CV49" i="32"/>
  <c r="CW49" i="32"/>
  <c r="CX49" i="32"/>
  <c r="CY49" i="32"/>
  <c r="CZ49" i="32"/>
  <c r="DA49" i="32"/>
  <c r="DB49" i="32"/>
  <c r="DC49" i="32"/>
  <c r="DD49" i="32"/>
  <c r="DE49" i="32"/>
  <c r="DF49" i="32"/>
  <c r="DG49" i="32"/>
  <c r="DH49" i="32"/>
  <c r="DI49" i="32"/>
  <c r="DJ49" i="32"/>
  <c r="DK49" i="32"/>
  <c r="DL49" i="32"/>
  <c r="DM49" i="32"/>
  <c r="DN49" i="32"/>
  <c r="DO49" i="32"/>
  <c r="DP49" i="32"/>
  <c r="DQ49" i="32"/>
  <c r="DR49" i="32"/>
  <c r="DS49" i="32"/>
  <c r="DT49" i="32"/>
  <c r="DU49" i="32"/>
  <c r="DV49" i="32"/>
  <c r="DW49" i="32"/>
  <c r="DX49" i="32"/>
  <c r="DY49" i="32"/>
  <c r="DZ49" i="32"/>
  <c r="EA49" i="32"/>
  <c r="EB49" i="32"/>
  <c r="EC49" i="32"/>
  <c r="ED49" i="32"/>
  <c r="EE49" i="32"/>
  <c r="EF49" i="32"/>
  <c r="EG49" i="32"/>
  <c r="EH49" i="32"/>
  <c r="EI49" i="32"/>
  <c r="EJ49" i="32"/>
  <c r="EK49" i="32"/>
  <c r="EL49" i="32"/>
  <c r="EM49" i="32"/>
  <c r="EN49" i="32"/>
  <c r="EO49" i="32"/>
  <c r="EP49" i="32"/>
  <c r="EQ49" i="32"/>
  <c r="ER49" i="32"/>
  <c r="ES49" i="32"/>
  <c r="ET49" i="32"/>
  <c r="EU49" i="32"/>
  <c r="EV49" i="32"/>
  <c r="EW49" i="32"/>
  <c r="EX49" i="32"/>
  <c r="EY49" i="32"/>
  <c r="EZ49" i="32"/>
  <c r="FA49" i="32"/>
  <c r="FB49" i="32"/>
  <c r="FC49" i="32"/>
  <c r="FD49" i="32"/>
  <c r="FE49" i="32"/>
  <c r="FF49" i="32"/>
  <c r="FG49" i="32"/>
  <c r="FH49" i="32"/>
  <c r="FI49" i="32"/>
  <c r="FJ49" i="32"/>
  <c r="FK49" i="32"/>
  <c r="FL49" i="32"/>
  <c r="FM49" i="32"/>
  <c r="FN49" i="32"/>
  <c r="FO49" i="32"/>
  <c r="FP49" i="32"/>
  <c r="FQ49" i="32"/>
  <c r="FR49" i="32"/>
  <c r="FS49" i="32"/>
  <c r="FT49" i="32"/>
  <c r="FU49" i="32"/>
  <c r="FV49" i="32"/>
  <c r="FW49" i="32"/>
  <c r="FX49" i="32"/>
  <c r="FY49" i="32"/>
  <c r="FZ49" i="32"/>
  <c r="GA49" i="32"/>
  <c r="GB49" i="32"/>
  <c r="GC49" i="32"/>
  <c r="GD49" i="32"/>
  <c r="GE49" i="32"/>
  <c r="GF49" i="32"/>
  <c r="GG49" i="32"/>
  <c r="GH49" i="32"/>
  <c r="GI49" i="32"/>
  <c r="GJ49" i="32"/>
  <c r="GK49" i="32"/>
  <c r="GL49" i="32"/>
  <c r="GM49" i="32"/>
  <c r="GN49" i="32"/>
  <c r="GO49" i="32"/>
  <c r="GP49" i="32"/>
  <c r="GQ49" i="32"/>
  <c r="GR49" i="32"/>
  <c r="GS49" i="32"/>
  <c r="GT49" i="32"/>
  <c r="GU49" i="32"/>
  <c r="GV49" i="32"/>
  <c r="GW49" i="32"/>
  <c r="GX49" i="32"/>
  <c r="GY49" i="32"/>
  <c r="GZ49" i="32"/>
  <c r="HA49" i="32"/>
  <c r="HB49" i="32"/>
  <c r="HC49" i="32"/>
  <c r="HD49" i="32"/>
  <c r="HE49" i="32"/>
  <c r="HF49" i="32"/>
  <c r="HG49" i="32"/>
  <c r="HH49" i="32"/>
  <c r="HI49" i="32"/>
  <c r="HJ49" i="32"/>
  <c r="HK49" i="32"/>
  <c r="HL49" i="32"/>
  <c r="HM49" i="32"/>
  <c r="HN49" i="32"/>
  <c r="HO49" i="32"/>
  <c r="HP49" i="32"/>
  <c r="HQ49" i="32"/>
  <c r="HR49" i="32"/>
  <c r="HS49" i="32"/>
  <c r="HT49" i="32"/>
  <c r="HU49" i="32"/>
  <c r="HV49" i="32"/>
  <c r="HW49" i="32"/>
  <c r="HX49" i="32"/>
  <c r="HY49" i="32"/>
  <c r="HZ49" i="32"/>
  <c r="IA49" i="32"/>
  <c r="IB49" i="32"/>
  <c r="IC49" i="32"/>
  <c r="ID49" i="32"/>
  <c r="IE49" i="32"/>
  <c r="IF49" i="32"/>
  <c r="IG49" i="32"/>
  <c r="IH49" i="32"/>
  <c r="II49" i="32"/>
  <c r="IJ49" i="32"/>
  <c r="IK49" i="32"/>
  <c r="IL49" i="32"/>
  <c r="IM49" i="32"/>
  <c r="IN49" i="32"/>
  <c r="IO49" i="32"/>
  <c r="IP49" i="32"/>
  <c r="IQ49" i="32"/>
  <c r="IR49" i="32"/>
  <c r="IS49" i="32"/>
  <c r="IT49" i="32"/>
  <c r="IU49" i="32"/>
  <c r="IV49" i="32"/>
  <c r="A48" i="32"/>
  <c r="B48" i="32"/>
  <c r="C48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8" i="32"/>
  <c r="AH48" i="32"/>
  <c r="AI48" i="32"/>
  <c r="AJ48" i="32"/>
  <c r="AK48" i="32"/>
  <c r="AL48" i="32"/>
  <c r="AM48" i="32"/>
  <c r="AN48" i="32"/>
  <c r="AO48" i="32"/>
  <c r="AP48" i="32"/>
  <c r="AQ48" i="32"/>
  <c r="AR48" i="32"/>
  <c r="AS48" i="32"/>
  <c r="AT48" i="32"/>
  <c r="AU48" i="32"/>
  <c r="AV48" i="32"/>
  <c r="AW48" i="32"/>
  <c r="AX48" i="32"/>
  <c r="AY48" i="32"/>
  <c r="AZ48" i="32"/>
  <c r="BA48" i="32"/>
  <c r="BB48" i="32"/>
  <c r="BC48" i="32"/>
  <c r="BD48" i="32"/>
  <c r="BE48" i="32"/>
  <c r="BF48" i="32"/>
  <c r="BG48" i="32"/>
  <c r="BH48" i="32"/>
  <c r="BI48" i="32"/>
  <c r="BJ48" i="32"/>
  <c r="BK48" i="32"/>
  <c r="BL48" i="32"/>
  <c r="BM48" i="32"/>
  <c r="BN48" i="32"/>
  <c r="BO48" i="32"/>
  <c r="BP48" i="32"/>
  <c r="BQ48" i="32"/>
  <c r="BR48" i="32"/>
  <c r="BS48" i="32"/>
  <c r="BT48" i="32"/>
  <c r="BU48" i="32"/>
  <c r="BV48" i="32"/>
  <c r="BW48" i="32"/>
  <c r="BX48" i="32"/>
  <c r="BY48" i="32"/>
  <c r="BZ48" i="32"/>
  <c r="CA48" i="32"/>
  <c r="CB48" i="32"/>
  <c r="CC48" i="32"/>
  <c r="CD48" i="32"/>
  <c r="CE48" i="32"/>
  <c r="CF48" i="32"/>
  <c r="CG48" i="32"/>
  <c r="CH48" i="32"/>
  <c r="CI48" i="32"/>
  <c r="CJ48" i="32"/>
  <c r="CK48" i="32"/>
  <c r="CL48" i="32"/>
  <c r="CM48" i="32"/>
  <c r="CN48" i="32"/>
  <c r="CO48" i="32"/>
  <c r="CP48" i="32"/>
  <c r="CQ48" i="32"/>
  <c r="CR48" i="32"/>
  <c r="CS48" i="32"/>
  <c r="CT48" i="32"/>
  <c r="CU48" i="32"/>
  <c r="CV48" i="32"/>
  <c r="CW48" i="32"/>
  <c r="CX48" i="32"/>
  <c r="CY48" i="32"/>
  <c r="CZ48" i="32"/>
  <c r="DA48" i="32"/>
  <c r="DB48" i="32"/>
  <c r="DC48" i="32"/>
  <c r="DD48" i="32"/>
  <c r="DE48" i="32"/>
  <c r="DF48" i="32"/>
  <c r="DG48" i="32"/>
  <c r="DH48" i="32"/>
  <c r="DI48" i="32"/>
  <c r="DJ48" i="32"/>
  <c r="DK48" i="32"/>
  <c r="DL48" i="32"/>
  <c r="DM48" i="32"/>
  <c r="DN48" i="32"/>
  <c r="DO48" i="32"/>
  <c r="DP48" i="32"/>
  <c r="DQ48" i="32"/>
  <c r="DR48" i="32"/>
  <c r="DS48" i="32"/>
  <c r="DT48" i="32"/>
  <c r="DU48" i="32"/>
  <c r="DV48" i="32"/>
  <c r="DW48" i="32"/>
  <c r="DX48" i="32"/>
  <c r="DY48" i="32"/>
  <c r="DZ48" i="32"/>
  <c r="EA48" i="32"/>
  <c r="EB48" i="32"/>
  <c r="EC48" i="32"/>
  <c r="ED48" i="32"/>
  <c r="EE48" i="32"/>
  <c r="EF48" i="32"/>
  <c r="EG48" i="32"/>
  <c r="EH48" i="32"/>
  <c r="EI48" i="32"/>
  <c r="EJ48" i="32"/>
  <c r="EK48" i="32"/>
  <c r="EL48" i="32"/>
  <c r="EM48" i="32"/>
  <c r="EN48" i="32"/>
  <c r="EO48" i="32"/>
  <c r="EP48" i="32"/>
  <c r="EQ48" i="32"/>
  <c r="ER48" i="32"/>
  <c r="ES48" i="32"/>
  <c r="ET48" i="32"/>
  <c r="EU48" i="32"/>
  <c r="EV48" i="32"/>
  <c r="EW48" i="32"/>
  <c r="EX48" i="32"/>
  <c r="EY48" i="32"/>
  <c r="EZ48" i="32"/>
  <c r="FA48" i="32"/>
  <c r="FB48" i="32"/>
  <c r="FC48" i="32"/>
  <c r="FD48" i="32"/>
  <c r="FE48" i="32"/>
  <c r="FF48" i="32"/>
  <c r="FG48" i="32"/>
  <c r="FH48" i="32"/>
  <c r="FI48" i="32"/>
  <c r="FJ48" i="32"/>
  <c r="FK48" i="32"/>
  <c r="FL48" i="32"/>
  <c r="FM48" i="32"/>
  <c r="FN48" i="32"/>
  <c r="FO48" i="32"/>
  <c r="FP48" i="32"/>
  <c r="FQ48" i="32"/>
  <c r="FR48" i="32"/>
  <c r="FS48" i="32"/>
  <c r="FT48" i="32"/>
  <c r="FU48" i="32"/>
  <c r="FV48" i="32"/>
  <c r="FW48" i="32"/>
  <c r="FX48" i="32"/>
  <c r="FY48" i="32"/>
  <c r="FZ48" i="32"/>
  <c r="GA48" i="32"/>
  <c r="GB48" i="32"/>
  <c r="GC48" i="32"/>
  <c r="GD48" i="32"/>
  <c r="GE48" i="32"/>
  <c r="GF48" i="32"/>
  <c r="GG48" i="32"/>
  <c r="GH48" i="32"/>
  <c r="GI48" i="32"/>
  <c r="GJ48" i="32"/>
  <c r="GK48" i="32"/>
  <c r="GL48" i="32"/>
  <c r="GM48" i="32"/>
  <c r="GN48" i="32"/>
  <c r="GO48" i="32"/>
  <c r="GP48" i="32"/>
  <c r="GQ48" i="32"/>
  <c r="GR48" i="32"/>
  <c r="GS48" i="32"/>
  <c r="GT48" i="32"/>
  <c r="GU48" i="32"/>
  <c r="GV48" i="32"/>
  <c r="GW48" i="32"/>
  <c r="GX48" i="32"/>
  <c r="GY48" i="32"/>
  <c r="GZ48" i="32"/>
  <c r="HA48" i="32"/>
  <c r="HB48" i="32"/>
  <c r="HC48" i="32"/>
  <c r="HD48" i="32"/>
  <c r="HE48" i="32"/>
  <c r="HF48" i="32"/>
  <c r="HG48" i="32"/>
  <c r="HH48" i="32"/>
  <c r="HI48" i="32"/>
  <c r="HJ48" i="32"/>
  <c r="HK48" i="32"/>
  <c r="HL48" i="32"/>
  <c r="HM48" i="32"/>
  <c r="HN48" i="32"/>
  <c r="HO48" i="32"/>
  <c r="HP48" i="32"/>
  <c r="HQ48" i="32"/>
  <c r="HR48" i="32"/>
  <c r="HS48" i="32"/>
  <c r="HT48" i="32"/>
  <c r="HU48" i="32"/>
  <c r="HV48" i="32"/>
  <c r="HW48" i="32"/>
  <c r="HX48" i="32"/>
  <c r="HY48" i="32"/>
  <c r="HZ48" i="32"/>
  <c r="IA48" i="32"/>
  <c r="IB48" i="32"/>
  <c r="IC48" i="32"/>
  <c r="ID48" i="32"/>
  <c r="IE48" i="32"/>
  <c r="IF48" i="32"/>
  <c r="IG48" i="32"/>
  <c r="IH48" i="32"/>
  <c r="II48" i="32"/>
  <c r="IJ48" i="32"/>
  <c r="IK48" i="32"/>
  <c r="IL48" i="32"/>
  <c r="IM48" i="32"/>
  <c r="IN48" i="32"/>
  <c r="IO48" i="32"/>
  <c r="IP48" i="32"/>
  <c r="IQ48" i="32"/>
  <c r="IR48" i="32"/>
  <c r="IS48" i="32"/>
  <c r="IT48" i="32"/>
  <c r="IU48" i="32"/>
  <c r="IV48" i="32"/>
  <c r="A47" i="32"/>
  <c r="B47" i="32"/>
  <c r="C47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AH47" i="32"/>
  <c r="AI47" i="32"/>
  <c r="AJ47" i="32"/>
  <c r="AK47" i="32"/>
  <c r="AL47" i="32"/>
  <c r="AM47" i="32"/>
  <c r="AN47" i="32"/>
  <c r="AO47" i="32"/>
  <c r="AP47" i="32"/>
  <c r="AQ47" i="32"/>
  <c r="AR47" i="32"/>
  <c r="AS47" i="32"/>
  <c r="AT47" i="32"/>
  <c r="AU47" i="32"/>
  <c r="AV47" i="32"/>
  <c r="AW47" i="32"/>
  <c r="AX47" i="32"/>
  <c r="AY47" i="32"/>
  <c r="AZ47" i="32"/>
  <c r="BA47" i="32"/>
  <c r="BB47" i="32"/>
  <c r="BC47" i="32"/>
  <c r="BD47" i="32"/>
  <c r="BE47" i="32"/>
  <c r="BF47" i="32"/>
  <c r="BG47" i="32"/>
  <c r="BH47" i="32"/>
  <c r="BI47" i="32"/>
  <c r="BJ47" i="32"/>
  <c r="BK47" i="32"/>
  <c r="BL47" i="32"/>
  <c r="BM47" i="32"/>
  <c r="BN47" i="32"/>
  <c r="BO47" i="32"/>
  <c r="BP47" i="32"/>
  <c r="BQ47" i="32"/>
  <c r="BR47" i="32"/>
  <c r="BS47" i="32"/>
  <c r="BT47" i="32"/>
  <c r="BU47" i="32"/>
  <c r="BV47" i="32"/>
  <c r="BW47" i="32"/>
  <c r="BX47" i="32"/>
  <c r="BY47" i="32"/>
  <c r="BZ47" i="32"/>
  <c r="CA47" i="32"/>
  <c r="CB47" i="32"/>
  <c r="CC47" i="32"/>
  <c r="CD47" i="32"/>
  <c r="CE47" i="32"/>
  <c r="CF47" i="32"/>
  <c r="CG47" i="32"/>
  <c r="CH47" i="32"/>
  <c r="CI47" i="32"/>
  <c r="CJ47" i="32"/>
  <c r="CK47" i="32"/>
  <c r="CL47" i="32"/>
  <c r="CM47" i="32"/>
  <c r="CN47" i="32"/>
  <c r="CO47" i="32"/>
  <c r="CP47" i="32"/>
  <c r="CQ47" i="32"/>
  <c r="CR47" i="32"/>
  <c r="CS47" i="32"/>
  <c r="CT47" i="32"/>
  <c r="CU47" i="32"/>
  <c r="CV47" i="32"/>
  <c r="CW47" i="32"/>
  <c r="CX47" i="32"/>
  <c r="CY47" i="32"/>
  <c r="CZ47" i="32"/>
  <c r="DA47" i="32"/>
  <c r="DB47" i="32"/>
  <c r="DC47" i="32"/>
  <c r="DD47" i="32"/>
  <c r="DE47" i="32"/>
  <c r="DF47" i="32"/>
  <c r="DG47" i="32"/>
  <c r="DH47" i="32"/>
  <c r="DI47" i="32"/>
  <c r="DJ47" i="32"/>
  <c r="DK47" i="32"/>
  <c r="DL47" i="32"/>
  <c r="DM47" i="32"/>
  <c r="DN47" i="32"/>
  <c r="DO47" i="32"/>
  <c r="DP47" i="32"/>
  <c r="DQ47" i="32"/>
  <c r="DR47" i="32"/>
  <c r="DS47" i="32"/>
  <c r="DT47" i="32"/>
  <c r="DU47" i="32"/>
  <c r="DV47" i="32"/>
  <c r="DW47" i="32"/>
  <c r="DX47" i="32"/>
  <c r="DY47" i="32"/>
  <c r="DZ47" i="32"/>
  <c r="EA47" i="32"/>
  <c r="EB47" i="32"/>
  <c r="EC47" i="32"/>
  <c r="ED47" i="32"/>
  <c r="EE47" i="32"/>
  <c r="EF47" i="32"/>
  <c r="EG47" i="32"/>
  <c r="EH47" i="32"/>
  <c r="EI47" i="32"/>
  <c r="EJ47" i="32"/>
  <c r="EK47" i="32"/>
  <c r="EL47" i="32"/>
  <c r="EM47" i="32"/>
  <c r="EN47" i="32"/>
  <c r="EO47" i="32"/>
  <c r="EP47" i="32"/>
  <c r="EQ47" i="32"/>
  <c r="ER47" i="32"/>
  <c r="ES47" i="32"/>
  <c r="ET47" i="32"/>
  <c r="EU47" i="32"/>
  <c r="EV47" i="32"/>
  <c r="EW47" i="32"/>
  <c r="EX47" i="32"/>
  <c r="EY47" i="32"/>
  <c r="EZ47" i="32"/>
  <c r="FA47" i="32"/>
  <c r="FB47" i="32"/>
  <c r="FC47" i="32"/>
  <c r="FD47" i="32"/>
  <c r="FE47" i="32"/>
  <c r="FF47" i="32"/>
  <c r="FG47" i="32"/>
  <c r="FH47" i="32"/>
  <c r="FI47" i="32"/>
  <c r="FJ47" i="32"/>
  <c r="FK47" i="32"/>
  <c r="FL47" i="32"/>
  <c r="FM47" i="32"/>
  <c r="FN47" i="32"/>
  <c r="FO47" i="32"/>
  <c r="FP47" i="32"/>
  <c r="FQ47" i="32"/>
  <c r="FR47" i="32"/>
  <c r="FS47" i="32"/>
  <c r="FT47" i="32"/>
  <c r="FU47" i="32"/>
  <c r="FV47" i="32"/>
  <c r="FW47" i="32"/>
  <c r="FX47" i="32"/>
  <c r="FY47" i="32"/>
  <c r="FZ47" i="32"/>
  <c r="GA47" i="32"/>
  <c r="GB47" i="32"/>
  <c r="GC47" i="32"/>
  <c r="GD47" i="32"/>
  <c r="GE47" i="32"/>
  <c r="GF47" i="32"/>
  <c r="GG47" i="32"/>
  <c r="GH47" i="32"/>
  <c r="GI47" i="32"/>
  <c r="GJ47" i="32"/>
  <c r="GK47" i="32"/>
  <c r="GL47" i="32"/>
  <c r="GM47" i="32"/>
  <c r="GN47" i="32"/>
  <c r="GO47" i="32"/>
  <c r="GP47" i="32"/>
  <c r="GQ47" i="32"/>
  <c r="GR47" i="32"/>
  <c r="GS47" i="32"/>
  <c r="GT47" i="32"/>
  <c r="GU47" i="32"/>
  <c r="GV47" i="32"/>
  <c r="GW47" i="32"/>
  <c r="GX47" i="32"/>
  <c r="GY47" i="32"/>
  <c r="GZ47" i="32"/>
  <c r="HA47" i="32"/>
  <c r="HB47" i="32"/>
  <c r="HC47" i="32"/>
  <c r="HD47" i="32"/>
  <c r="HE47" i="32"/>
  <c r="HF47" i="32"/>
  <c r="HG47" i="32"/>
  <c r="HH47" i="32"/>
  <c r="HI47" i="32"/>
  <c r="HJ47" i="32"/>
  <c r="HK47" i="32"/>
  <c r="HL47" i="32"/>
  <c r="HM47" i="32"/>
  <c r="HN47" i="32"/>
  <c r="HO47" i="32"/>
  <c r="HP47" i="32"/>
  <c r="HQ47" i="32"/>
  <c r="HR47" i="32"/>
  <c r="HS47" i="32"/>
  <c r="HT47" i="32"/>
  <c r="HU47" i="32"/>
  <c r="HV47" i="32"/>
  <c r="HW47" i="32"/>
  <c r="HX47" i="32"/>
  <c r="HY47" i="32"/>
  <c r="HZ47" i="32"/>
  <c r="IA47" i="32"/>
  <c r="IB47" i="32"/>
  <c r="IC47" i="32"/>
  <c r="ID47" i="32"/>
  <c r="IE47" i="32"/>
  <c r="IF47" i="32"/>
  <c r="IG47" i="32"/>
  <c r="IH47" i="32"/>
  <c r="II47" i="32"/>
  <c r="IJ47" i="32"/>
  <c r="IK47" i="32"/>
  <c r="IL47" i="32"/>
  <c r="IM47" i="32"/>
  <c r="IN47" i="32"/>
  <c r="IO47" i="32"/>
  <c r="IP47" i="32"/>
  <c r="IQ47" i="32"/>
  <c r="IR47" i="32"/>
  <c r="IS47" i="32"/>
  <c r="IT47" i="32"/>
  <c r="IU47" i="32"/>
  <c r="IV47" i="32"/>
  <c r="A46" i="32"/>
  <c r="B46" i="32"/>
  <c r="C46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AG46" i="32"/>
  <c r="AH46" i="32"/>
  <c r="AI46" i="32"/>
  <c r="AJ46" i="32"/>
  <c r="AK46" i="32"/>
  <c r="AL46" i="32"/>
  <c r="AM46" i="32"/>
  <c r="AN46" i="32"/>
  <c r="AO46" i="32"/>
  <c r="AP46" i="32"/>
  <c r="AQ46" i="32"/>
  <c r="AR46" i="32"/>
  <c r="AS46" i="32"/>
  <c r="AT46" i="32"/>
  <c r="AU46" i="32"/>
  <c r="AV46" i="32"/>
  <c r="AW46" i="32"/>
  <c r="AX46" i="32"/>
  <c r="AY46" i="32"/>
  <c r="AZ46" i="32"/>
  <c r="BA46" i="32"/>
  <c r="BB46" i="32"/>
  <c r="BC46" i="32"/>
  <c r="BD46" i="32"/>
  <c r="BE46" i="32"/>
  <c r="BF46" i="32"/>
  <c r="BG46" i="32"/>
  <c r="BH46" i="32"/>
  <c r="BI46" i="32"/>
  <c r="BJ46" i="32"/>
  <c r="BK46" i="32"/>
  <c r="BL46" i="32"/>
  <c r="BM46" i="32"/>
  <c r="BN46" i="32"/>
  <c r="BO46" i="32"/>
  <c r="BP46" i="32"/>
  <c r="BQ46" i="32"/>
  <c r="BR46" i="32"/>
  <c r="BS46" i="32"/>
  <c r="BT46" i="32"/>
  <c r="BU46" i="32"/>
  <c r="BV46" i="32"/>
  <c r="BW46" i="32"/>
  <c r="BX46" i="32"/>
  <c r="BY46" i="32"/>
  <c r="BZ46" i="32"/>
  <c r="CA46" i="32"/>
  <c r="CB46" i="32"/>
  <c r="CC46" i="32"/>
  <c r="CD46" i="32"/>
  <c r="CE46" i="32"/>
  <c r="CF46" i="32"/>
  <c r="CG46" i="32"/>
  <c r="CH46" i="32"/>
  <c r="CI46" i="32"/>
  <c r="CJ46" i="32"/>
  <c r="CK46" i="32"/>
  <c r="CL46" i="32"/>
  <c r="CM46" i="32"/>
  <c r="CN46" i="32"/>
  <c r="CO46" i="32"/>
  <c r="CP46" i="32"/>
  <c r="CQ46" i="32"/>
  <c r="CR46" i="32"/>
  <c r="CS46" i="32"/>
  <c r="CT46" i="32"/>
  <c r="CU46" i="32"/>
  <c r="CV46" i="32"/>
  <c r="CW46" i="32"/>
  <c r="CX46" i="32"/>
  <c r="CY46" i="32"/>
  <c r="CZ46" i="32"/>
  <c r="DA46" i="32"/>
  <c r="DB46" i="32"/>
  <c r="DC46" i="32"/>
  <c r="DD46" i="32"/>
  <c r="DE46" i="32"/>
  <c r="DF46" i="32"/>
  <c r="DG46" i="32"/>
  <c r="DH46" i="32"/>
  <c r="DI46" i="32"/>
  <c r="DJ46" i="32"/>
  <c r="DK46" i="32"/>
  <c r="DL46" i="32"/>
  <c r="DM46" i="32"/>
  <c r="DN46" i="32"/>
  <c r="DO46" i="32"/>
  <c r="DP46" i="32"/>
  <c r="DQ46" i="32"/>
  <c r="DR46" i="32"/>
  <c r="DS46" i="32"/>
  <c r="DT46" i="32"/>
  <c r="DU46" i="32"/>
  <c r="DV46" i="32"/>
  <c r="DW46" i="32"/>
  <c r="DX46" i="32"/>
  <c r="DY46" i="32"/>
  <c r="DZ46" i="32"/>
  <c r="EA46" i="32"/>
  <c r="EB46" i="32"/>
  <c r="EC46" i="32"/>
  <c r="ED46" i="32"/>
  <c r="EE46" i="32"/>
  <c r="EF46" i="32"/>
  <c r="EG46" i="32"/>
  <c r="EH46" i="32"/>
  <c r="EI46" i="32"/>
  <c r="EJ46" i="32"/>
  <c r="EK46" i="32"/>
  <c r="EL46" i="32"/>
  <c r="EM46" i="32"/>
  <c r="EN46" i="32"/>
  <c r="EO46" i="32"/>
  <c r="EP46" i="32"/>
  <c r="EQ46" i="32"/>
  <c r="ER46" i="32"/>
  <c r="ES46" i="32"/>
  <c r="ET46" i="32"/>
  <c r="EU46" i="32"/>
  <c r="EV46" i="32"/>
  <c r="EW46" i="32"/>
  <c r="EX46" i="32"/>
  <c r="EY46" i="32"/>
  <c r="EZ46" i="32"/>
  <c r="FA46" i="32"/>
  <c r="FB46" i="32"/>
  <c r="FC46" i="32"/>
  <c r="FD46" i="32"/>
  <c r="FE46" i="32"/>
  <c r="FF46" i="32"/>
  <c r="FG46" i="32"/>
  <c r="FH46" i="32"/>
  <c r="FI46" i="32"/>
  <c r="FJ46" i="32"/>
  <c r="FK46" i="32"/>
  <c r="FL46" i="32"/>
  <c r="FM46" i="32"/>
  <c r="FN46" i="32"/>
  <c r="FO46" i="32"/>
  <c r="FP46" i="32"/>
  <c r="FQ46" i="32"/>
  <c r="FR46" i="32"/>
  <c r="FS46" i="32"/>
  <c r="FT46" i="32"/>
  <c r="FU46" i="32"/>
  <c r="FV46" i="32"/>
  <c r="FW46" i="32"/>
  <c r="FX46" i="32"/>
  <c r="FY46" i="32"/>
  <c r="FZ46" i="32"/>
  <c r="GA46" i="32"/>
  <c r="GB46" i="32"/>
  <c r="GC46" i="32"/>
  <c r="GD46" i="32"/>
  <c r="GE46" i="32"/>
  <c r="GF46" i="32"/>
  <c r="GG46" i="32"/>
  <c r="GH46" i="32"/>
  <c r="GI46" i="32"/>
  <c r="GJ46" i="32"/>
  <c r="GK46" i="32"/>
  <c r="GL46" i="32"/>
  <c r="GM46" i="32"/>
  <c r="GN46" i="32"/>
  <c r="GO46" i="32"/>
  <c r="GP46" i="32"/>
  <c r="GQ46" i="32"/>
  <c r="GR46" i="32"/>
  <c r="GS46" i="32"/>
  <c r="GT46" i="32"/>
  <c r="GU46" i="32"/>
  <c r="GV46" i="32"/>
  <c r="GW46" i="32"/>
  <c r="GX46" i="32"/>
  <c r="GY46" i="32"/>
  <c r="GZ46" i="32"/>
  <c r="HA46" i="32"/>
  <c r="HB46" i="32"/>
  <c r="HC46" i="32"/>
  <c r="HD46" i="32"/>
  <c r="HE46" i="32"/>
  <c r="HF46" i="32"/>
  <c r="HG46" i="32"/>
  <c r="HH46" i="32"/>
  <c r="HI46" i="32"/>
  <c r="HJ46" i="32"/>
  <c r="HK46" i="32"/>
  <c r="HL46" i="32"/>
  <c r="HM46" i="32"/>
  <c r="HN46" i="32"/>
  <c r="HO46" i="32"/>
  <c r="HP46" i="32"/>
  <c r="HQ46" i="32"/>
  <c r="HR46" i="32"/>
  <c r="HS46" i="32"/>
  <c r="HT46" i="32"/>
  <c r="HU46" i="32"/>
  <c r="HV46" i="32"/>
  <c r="HW46" i="32"/>
  <c r="HX46" i="32"/>
  <c r="HY46" i="32"/>
  <c r="HZ46" i="32"/>
  <c r="IA46" i="32"/>
  <c r="IB46" i="32"/>
  <c r="IC46" i="32"/>
  <c r="ID46" i="32"/>
  <c r="IE46" i="32"/>
  <c r="IF46" i="32"/>
  <c r="IG46" i="32"/>
  <c r="IH46" i="32"/>
  <c r="II46" i="32"/>
  <c r="IJ46" i="32"/>
  <c r="IK46" i="32"/>
  <c r="IL46" i="32"/>
  <c r="IM46" i="32"/>
  <c r="IN46" i="32"/>
  <c r="IO46" i="32"/>
  <c r="IP46" i="32"/>
  <c r="IQ46" i="32"/>
  <c r="IR46" i="32"/>
  <c r="IS46" i="32"/>
  <c r="IT46" i="32"/>
  <c r="IU46" i="32"/>
  <c r="IV46" i="32"/>
  <c r="A45" i="32"/>
  <c r="B45" i="32"/>
  <c r="C45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P45" i="32"/>
  <c r="Q45" i="32"/>
  <c r="R45" i="32"/>
  <c r="S45" i="32"/>
  <c r="T45" i="32"/>
  <c r="U45" i="32"/>
  <c r="V45" i="32"/>
  <c r="W45" i="32"/>
  <c r="X45" i="32"/>
  <c r="Y45" i="32"/>
  <c r="Z45" i="32"/>
  <c r="AA45" i="32"/>
  <c r="AB45" i="32"/>
  <c r="AC45" i="32"/>
  <c r="AD45" i="32"/>
  <c r="AE45" i="32"/>
  <c r="AF45" i="32"/>
  <c r="AG45" i="32"/>
  <c r="AH45" i="32"/>
  <c r="AI45" i="32"/>
  <c r="AJ45" i="32"/>
  <c r="AK45" i="32"/>
  <c r="AL45" i="32"/>
  <c r="AM45" i="32"/>
  <c r="AN45" i="32"/>
  <c r="AO45" i="32"/>
  <c r="AP45" i="32"/>
  <c r="AQ45" i="32"/>
  <c r="AR45" i="32"/>
  <c r="AS45" i="32"/>
  <c r="AT45" i="32"/>
  <c r="AU45" i="32"/>
  <c r="AV45" i="32"/>
  <c r="AW45" i="32"/>
  <c r="AX45" i="32"/>
  <c r="AY45" i="32"/>
  <c r="AZ45" i="32"/>
  <c r="BA45" i="32"/>
  <c r="BB45" i="32"/>
  <c r="BC45" i="32"/>
  <c r="BD45" i="32"/>
  <c r="BE45" i="32"/>
  <c r="BF45" i="32"/>
  <c r="BG45" i="32"/>
  <c r="BH45" i="32"/>
  <c r="BI45" i="32"/>
  <c r="BJ45" i="32"/>
  <c r="BK45" i="32"/>
  <c r="BL45" i="32"/>
  <c r="BM45" i="32"/>
  <c r="BN45" i="32"/>
  <c r="BO45" i="32"/>
  <c r="BP45" i="32"/>
  <c r="BQ45" i="32"/>
  <c r="BR45" i="32"/>
  <c r="BS45" i="32"/>
  <c r="BT45" i="32"/>
  <c r="BU45" i="32"/>
  <c r="BV45" i="32"/>
  <c r="BW45" i="32"/>
  <c r="BX45" i="32"/>
  <c r="BY45" i="32"/>
  <c r="BZ45" i="32"/>
  <c r="CA45" i="32"/>
  <c r="CB45" i="32"/>
  <c r="CC45" i="32"/>
  <c r="CD45" i="32"/>
  <c r="CE45" i="32"/>
  <c r="CF45" i="32"/>
  <c r="CG45" i="32"/>
  <c r="CH45" i="32"/>
  <c r="CI45" i="32"/>
  <c r="CJ45" i="32"/>
  <c r="CK45" i="32"/>
  <c r="CL45" i="32"/>
  <c r="CM45" i="32"/>
  <c r="CN45" i="32"/>
  <c r="CO45" i="32"/>
  <c r="CP45" i="32"/>
  <c r="CQ45" i="32"/>
  <c r="CR45" i="32"/>
  <c r="CS45" i="32"/>
  <c r="CT45" i="32"/>
  <c r="CU45" i="32"/>
  <c r="CV45" i="32"/>
  <c r="CW45" i="32"/>
  <c r="CX45" i="32"/>
  <c r="CY45" i="32"/>
  <c r="CZ45" i="32"/>
  <c r="DA45" i="32"/>
  <c r="DB45" i="32"/>
  <c r="DC45" i="32"/>
  <c r="DD45" i="32"/>
  <c r="DE45" i="32"/>
  <c r="DF45" i="32"/>
  <c r="DG45" i="32"/>
  <c r="DH45" i="32"/>
  <c r="DI45" i="32"/>
  <c r="DJ45" i="32"/>
  <c r="DK45" i="32"/>
  <c r="DL45" i="32"/>
  <c r="DM45" i="32"/>
  <c r="DN45" i="32"/>
  <c r="DO45" i="32"/>
  <c r="DP45" i="32"/>
  <c r="DQ45" i="32"/>
  <c r="DR45" i="32"/>
  <c r="DS45" i="32"/>
  <c r="DT45" i="32"/>
  <c r="DU45" i="32"/>
  <c r="DV45" i="32"/>
  <c r="DW45" i="32"/>
  <c r="DX45" i="32"/>
  <c r="DY45" i="32"/>
  <c r="DZ45" i="32"/>
  <c r="EA45" i="32"/>
  <c r="EB45" i="32"/>
  <c r="EC45" i="32"/>
  <c r="ED45" i="32"/>
  <c r="EE45" i="32"/>
  <c r="EF45" i="32"/>
  <c r="EG45" i="32"/>
  <c r="EH45" i="32"/>
  <c r="EI45" i="32"/>
  <c r="EJ45" i="32"/>
  <c r="EK45" i="32"/>
  <c r="EL45" i="32"/>
  <c r="EM45" i="32"/>
  <c r="EN45" i="32"/>
  <c r="EO45" i="32"/>
  <c r="EP45" i="32"/>
  <c r="EQ45" i="32"/>
  <c r="ER45" i="32"/>
  <c r="ES45" i="32"/>
  <c r="ET45" i="32"/>
  <c r="EU45" i="32"/>
  <c r="EV45" i="32"/>
  <c r="EW45" i="32"/>
  <c r="EX45" i="32"/>
  <c r="EY45" i="32"/>
  <c r="EZ45" i="32"/>
  <c r="FA45" i="32"/>
  <c r="FB45" i="32"/>
  <c r="FC45" i="32"/>
  <c r="FD45" i="32"/>
  <c r="FE45" i="32"/>
  <c r="FF45" i="32"/>
  <c r="FG45" i="32"/>
  <c r="FH45" i="32"/>
  <c r="FI45" i="32"/>
  <c r="FJ45" i="32"/>
  <c r="FK45" i="32"/>
  <c r="FL45" i="32"/>
  <c r="FM45" i="32"/>
  <c r="FN45" i="32"/>
  <c r="FO45" i="32"/>
  <c r="FP45" i="32"/>
  <c r="FQ45" i="32"/>
  <c r="FR45" i="32"/>
  <c r="FS45" i="32"/>
  <c r="FT45" i="32"/>
  <c r="FU45" i="32"/>
  <c r="FV45" i="32"/>
  <c r="FW45" i="32"/>
  <c r="FX45" i="32"/>
  <c r="FY45" i="32"/>
  <c r="FZ45" i="32"/>
  <c r="GA45" i="32"/>
  <c r="GB45" i="32"/>
  <c r="GC45" i="32"/>
  <c r="GD45" i="32"/>
  <c r="GE45" i="32"/>
  <c r="GF45" i="32"/>
  <c r="GG45" i="32"/>
  <c r="GH45" i="32"/>
  <c r="GI45" i="32"/>
  <c r="GJ45" i="32"/>
  <c r="GK45" i="32"/>
  <c r="GL45" i="32"/>
  <c r="GM45" i="32"/>
  <c r="GN45" i="32"/>
  <c r="GO45" i="32"/>
  <c r="GP45" i="32"/>
  <c r="GQ45" i="32"/>
  <c r="GR45" i="32"/>
  <c r="GS45" i="32"/>
  <c r="GT45" i="32"/>
  <c r="GU45" i="32"/>
  <c r="GV45" i="32"/>
  <c r="GW45" i="32"/>
  <c r="GX45" i="32"/>
  <c r="GY45" i="32"/>
  <c r="GZ45" i="32"/>
  <c r="HA45" i="32"/>
  <c r="HB45" i="32"/>
  <c r="HC45" i="32"/>
  <c r="HD45" i="32"/>
  <c r="HE45" i="32"/>
  <c r="HF45" i="32"/>
  <c r="HG45" i="32"/>
  <c r="HH45" i="32"/>
  <c r="HI45" i="32"/>
  <c r="HJ45" i="32"/>
  <c r="HK45" i="32"/>
  <c r="HL45" i="32"/>
  <c r="HM45" i="32"/>
  <c r="HN45" i="32"/>
  <c r="HO45" i="32"/>
  <c r="HP45" i="32"/>
  <c r="HQ45" i="32"/>
  <c r="HR45" i="32"/>
  <c r="HS45" i="32"/>
  <c r="HT45" i="32"/>
  <c r="HU45" i="32"/>
  <c r="HV45" i="32"/>
  <c r="HW45" i="32"/>
  <c r="HX45" i="32"/>
  <c r="HY45" i="32"/>
  <c r="HZ45" i="32"/>
  <c r="IA45" i="32"/>
  <c r="IB45" i="32"/>
  <c r="IC45" i="32"/>
  <c r="ID45" i="32"/>
  <c r="IE45" i="32"/>
  <c r="IF45" i="32"/>
  <c r="IG45" i="32"/>
  <c r="IH45" i="32"/>
  <c r="II45" i="32"/>
  <c r="IJ45" i="32"/>
  <c r="IK45" i="32"/>
  <c r="IL45" i="32"/>
  <c r="IM45" i="32"/>
  <c r="IN45" i="32"/>
  <c r="IO45" i="32"/>
  <c r="IP45" i="32"/>
  <c r="IQ45" i="32"/>
  <c r="IR45" i="32"/>
  <c r="IS45" i="32"/>
  <c r="IT45" i="32"/>
  <c r="IU45" i="32"/>
  <c r="IV45" i="32"/>
  <c r="A44" i="32"/>
  <c r="B44" i="32"/>
  <c r="C44" i="32"/>
  <c r="D44" i="32"/>
  <c r="E44" i="32"/>
  <c r="F44" i="32"/>
  <c r="G44" i="32"/>
  <c r="H44" i="32"/>
  <c r="I44" i="32"/>
  <c r="J44" i="32"/>
  <c r="K44" i="32"/>
  <c r="L44" i="32"/>
  <c r="M44" i="32"/>
  <c r="N44" i="32"/>
  <c r="O44" i="32"/>
  <c r="P44" i="32"/>
  <c r="Q44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H44" i="32"/>
  <c r="AI44" i="32"/>
  <c r="AJ44" i="32"/>
  <c r="AK44" i="32"/>
  <c r="AL44" i="32"/>
  <c r="AM44" i="32"/>
  <c r="AN44" i="32"/>
  <c r="AO44" i="32"/>
  <c r="AP44" i="32"/>
  <c r="AQ44" i="32"/>
  <c r="AR44" i="32"/>
  <c r="AS44" i="32"/>
  <c r="AT44" i="32"/>
  <c r="AU44" i="32"/>
  <c r="AV44" i="32"/>
  <c r="AW44" i="32"/>
  <c r="AX44" i="32"/>
  <c r="AY44" i="32"/>
  <c r="AZ44" i="32"/>
  <c r="BA44" i="32"/>
  <c r="BB44" i="32"/>
  <c r="BC44" i="32"/>
  <c r="BD44" i="32"/>
  <c r="BE44" i="32"/>
  <c r="BF44" i="32"/>
  <c r="BG44" i="32"/>
  <c r="BH44" i="32"/>
  <c r="BI44" i="32"/>
  <c r="BJ44" i="32"/>
  <c r="BK44" i="32"/>
  <c r="BL44" i="32"/>
  <c r="BM44" i="32"/>
  <c r="BN44" i="32"/>
  <c r="BO44" i="32"/>
  <c r="BP44" i="32"/>
  <c r="BQ44" i="32"/>
  <c r="BR44" i="32"/>
  <c r="BS44" i="32"/>
  <c r="BT44" i="32"/>
  <c r="BU44" i="32"/>
  <c r="BV44" i="32"/>
  <c r="BW44" i="32"/>
  <c r="BX44" i="32"/>
  <c r="BY44" i="32"/>
  <c r="BZ44" i="32"/>
  <c r="CA44" i="32"/>
  <c r="CB44" i="32"/>
  <c r="CC44" i="32"/>
  <c r="CD44" i="32"/>
  <c r="CE44" i="32"/>
  <c r="CF44" i="32"/>
  <c r="CG44" i="32"/>
  <c r="CH44" i="32"/>
  <c r="CI44" i="32"/>
  <c r="CJ44" i="32"/>
  <c r="CK44" i="32"/>
  <c r="CL44" i="32"/>
  <c r="CM44" i="32"/>
  <c r="CN44" i="32"/>
  <c r="CO44" i="32"/>
  <c r="CP44" i="32"/>
  <c r="CQ44" i="32"/>
  <c r="CR44" i="32"/>
  <c r="CS44" i="32"/>
  <c r="CT44" i="32"/>
  <c r="CU44" i="32"/>
  <c r="CV44" i="32"/>
  <c r="CW44" i="32"/>
  <c r="CX44" i="32"/>
  <c r="CY44" i="32"/>
  <c r="CZ44" i="32"/>
  <c r="DA44" i="32"/>
  <c r="DB44" i="32"/>
  <c r="DC44" i="32"/>
  <c r="DD44" i="32"/>
  <c r="DE44" i="32"/>
  <c r="DF44" i="32"/>
  <c r="DG44" i="32"/>
  <c r="DH44" i="32"/>
  <c r="DI44" i="32"/>
  <c r="DJ44" i="32"/>
  <c r="DK44" i="32"/>
  <c r="DL44" i="32"/>
  <c r="DM44" i="32"/>
  <c r="DN44" i="32"/>
  <c r="DO44" i="32"/>
  <c r="DP44" i="32"/>
  <c r="DQ44" i="32"/>
  <c r="DR44" i="32"/>
  <c r="DS44" i="32"/>
  <c r="DT44" i="32"/>
  <c r="DU44" i="32"/>
  <c r="DV44" i="32"/>
  <c r="DW44" i="32"/>
  <c r="DX44" i="32"/>
  <c r="DY44" i="32"/>
  <c r="DZ44" i="32"/>
  <c r="EA44" i="32"/>
  <c r="EB44" i="32"/>
  <c r="EC44" i="32"/>
  <c r="ED44" i="32"/>
  <c r="EE44" i="32"/>
  <c r="EF44" i="32"/>
  <c r="EG44" i="32"/>
  <c r="EH44" i="32"/>
  <c r="EI44" i="32"/>
  <c r="EJ44" i="32"/>
  <c r="EK44" i="32"/>
  <c r="EL44" i="32"/>
  <c r="EM44" i="32"/>
  <c r="EN44" i="32"/>
  <c r="EO44" i="32"/>
  <c r="EP44" i="32"/>
  <c r="EQ44" i="32"/>
  <c r="ER44" i="32"/>
  <c r="ES44" i="32"/>
  <c r="ET44" i="32"/>
  <c r="EU44" i="32"/>
  <c r="EV44" i="32"/>
  <c r="EW44" i="32"/>
  <c r="EX44" i="32"/>
  <c r="EY44" i="32"/>
  <c r="EZ44" i="32"/>
  <c r="FA44" i="32"/>
  <c r="FB44" i="32"/>
  <c r="FC44" i="32"/>
  <c r="FD44" i="32"/>
  <c r="FE44" i="32"/>
  <c r="FF44" i="32"/>
  <c r="FG44" i="32"/>
  <c r="FH44" i="32"/>
  <c r="FI44" i="32"/>
  <c r="FJ44" i="32"/>
  <c r="FK44" i="32"/>
  <c r="FL44" i="32"/>
  <c r="FM44" i="32"/>
  <c r="FN44" i="32"/>
  <c r="FO44" i="32"/>
  <c r="FP44" i="32"/>
  <c r="FQ44" i="32"/>
  <c r="FR44" i="32"/>
  <c r="FS44" i="32"/>
  <c r="FT44" i="32"/>
  <c r="FU44" i="32"/>
  <c r="FV44" i="32"/>
  <c r="FW44" i="32"/>
  <c r="FX44" i="32"/>
  <c r="FY44" i="32"/>
  <c r="FZ44" i="32"/>
  <c r="GA44" i="32"/>
  <c r="GB44" i="32"/>
  <c r="GC44" i="32"/>
  <c r="GD44" i="32"/>
  <c r="GE44" i="32"/>
  <c r="GF44" i="32"/>
  <c r="GG44" i="32"/>
  <c r="GH44" i="32"/>
  <c r="GI44" i="32"/>
  <c r="GJ44" i="32"/>
  <c r="GK44" i="32"/>
  <c r="GL44" i="32"/>
  <c r="GM44" i="32"/>
  <c r="GN44" i="32"/>
  <c r="GO44" i="32"/>
  <c r="GP44" i="32"/>
  <c r="GQ44" i="32"/>
  <c r="GR44" i="32"/>
  <c r="GS44" i="32"/>
  <c r="GT44" i="32"/>
  <c r="GU44" i="32"/>
  <c r="GV44" i="32"/>
  <c r="GW44" i="32"/>
  <c r="GX44" i="32"/>
  <c r="GY44" i="32"/>
  <c r="GZ44" i="32"/>
  <c r="HA44" i="32"/>
  <c r="HB44" i="32"/>
  <c r="HC44" i="32"/>
  <c r="HD44" i="32"/>
  <c r="HE44" i="32"/>
  <c r="HF44" i="32"/>
  <c r="HG44" i="32"/>
  <c r="HH44" i="32"/>
  <c r="HI44" i="32"/>
  <c r="HJ44" i="32"/>
  <c r="HK44" i="32"/>
  <c r="HL44" i="32"/>
  <c r="HM44" i="32"/>
  <c r="HN44" i="32"/>
  <c r="HO44" i="32"/>
  <c r="HP44" i="32"/>
  <c r="HQ44" i="32"/>
  <c r="HR44" i="32"/>
  <c r="HS44" i="32"/>
  <c r="HT44" i="32"/>
  <c r="HU44" i="32"/>
  <c r="HV44" i="32"/>
  <c r="HW44" i="32"/>
  <c r="HX44" i="32"/>
  <c r="HY44" i="32"/>
  <c r="HZ44" i="32"/>
  <c r="IA44" i="32"/>
  <c r="IB44" i="32"/>
  <c r="IC44" i="32"/>
  <c r="ID44" i="32"/>
  <c r="IE44" i="32"/>
  <c r="IF44" i="32"/>
  <c r="IG44" i="32"/>
  <c r="IH44" i="32"/>
  <c r="II44" i="32"/>
  <c r="IJ44" i="32"/>
  <c r="IK44" i="32"/>
  <c r="IL44" i="32"/>
  <c r="IM44" i="32"/>
  <c r="IN44" i="32"/>
  <c r="IO44" i="32"/>
  <c r="IP44" i="32"/>
  <c r="IQ44" i="32"/>
  <c r="IR44" i="32"/>
  <c r="IS44" i="32"/>
  <c r="IT44" i="32"/>
  <c r="IU44" i="32"/>
  <c r="IV44" i="32"/>
  <c r="A43" i="32"/>
  <c r="B43" i="32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AB43" i="32"/>
  <c r="AC43" i="32"/>
  <c r="AD43" i="32"/>
  <c r="AE43" i="32"/>
  <c r="AF43" i="32"/>
  <c r="AG43" i="32"/>
  <c r="AH43" i="32"/>
  <c r="AI43" i="32"/>
  <c r="AJ43" i="32"/>
  <c r="AK43" i="32"/>
  <c r="AL43" i="32"/>
  <c r="AM43" i="32"/>
  <c r="AN43" i="32"/>
  <c r="AO43" i="32"/>
  <c r="AP43" i="32"/>
  <c r="AQ43" i="32"/>
  <c r="AR43" i="32"/>
  <c r="AS43" i="32"/>
  <c r="AT43" i="32"/>
  <c r="AU43" i="32"/>
  <c r="AV43" i="32"/>
  <c r="AW43" i="32"/>
  <c r="AX43" i="32"/>
  <c r="AY43" i="32"/>
  <c r="AZ43" i="32"/>
  <c r="BA43" i="32"/>
  <c r="BB43" i="32"/>
  <c r="BC43" i="32"/>
  <c r="BD43" i="32"/>
  <c r="BE43" i="32"/>
  <c r="BF43" i="32"/>
  <c r="BG43" i="32"/>
  <c r="BH43" i="32"/>
  <c r="BI43" i="32"/>
  <c r="BJ43" i="32"/>
  <c r="BK43" i="32"/>
  <c r="BL43" i="32"/>
  <c r="BM43" i="32"/>
  <c r="BN43" i="32"/>
  <c r="BO43" i="32"/>
  <c r="BP43" i="32"/>
  <c r="BQ43" i="32"/>
  <c r="BR43" i="32"/>
  <c r="BS43" i="32"/>
  <c r="BT43" i="32"/>
  <c r="BU43" i="32"/>
  <c r="BV43" i="32"/>
  <c r="BW43" i="32"/>
  <c r="BX43" i="32"/>
  <c r="BY43" i="32"/>
  <c r="BZ43" i="32"/>
  <c r="CA43" i="32"/>
  <c r="CB43" i="32"/>
  <c r="CC43" i="32"/>
  <c r="CD43" i="32"/>
  <c r="CE43" i="32"/>
  <c r="CF43" i="32"/>
  <c r="CG43" i="32"/>
  <c r="CH43" i="32"/>
  <c r="CI43" i="32"/>
  <c r="CJ43" i="32"/>
  <c r="CK43" i="32"/>
  <c r="CL43" i="32"/>
  <c r="CM43" i="32"/>
  <c r="CN43" i="32"/>
  <c r="CO43" i="32"/>
  <c r="CP43" i="32"/>
  <c r="CQ43" i="32"/>
  <c r="CR43" i="32"/>
  <c r="CS43" i="32"/>
  <c r="CT43" i="32"/>
  <c r="CU43" i="32"/>
  <c r="CV43" i="32"/>
  <c r="CW43" i="32"/>
  <c r="CX43" i="32"/>
  <c r="CY43" i="32"/>
  <c r="CZ43" i="32"/>
  <c r="DA43" i="32"/>
  <c r="DB43" i="32"/>
  <c r="DC43" i="32"/>
  <c r="DD43" i="32"/>
  <c r="DE43" i="32"/>
  <c r="DF43" i="32"/>
  <c r="DG43" i="32"/>
  <c r="DH43" i="32"/>
  <c r="DI43" i="32"/>
  <c r="DJ43" i="32"/>
  <c r="DK43" i="32"/>
  <c r="DL43" i="32"/>
  <c r="DM43" i="32"/>
  <c r="DN43" i="32"/>
  <c r="DO43" i="32"/>
  <c r="DP43" i="32"/>
  <c r="DQ43" i="32"/>
  <c r="DR43" i="32"/>
  <c r="DS43" i="32"/>
  <c r="DT43" i="32"/>
  <c r="DU43" i="32"/>
  <c r="DV43" i="32"/>
  <c r="DW43" i="32"/>
  <c r="DX43" i="32"/>
  <c r="DY43" i="32"/>
  <c r="DZ43" i="32"/>
  <c r="EA43" i="32"/>
  <c r="EB43" i="32"/>
  <c r="EC43" i="32"/>
  <c r="ED43" i="32"/>
  <c r="EE43" i="32"/>
  <c r="EF43" i="32"/>
  <c r="EG43" i="32"/>
  <c r="EH43" i="32"/>
  <c r="EI43" i="32"/>
  <c r="EJ43" i="32"/>
  <c r="EK43" i="32"/>
  <c r="EL43" i="32"/>
  <c r="EM43" i="32"/>
  <c r="EN43" i="32"/>
  <c r="EO43" i="32"/>
  <c r="EP43" i="32"/>
  <c r="EQ43" i="32"/>
  <c r="ER43" i="32"/>
  <c r="ES43" i="32"/>
  <c r="ET43" i="32"/>
  <c r="EU43" i="32"/>
  <c r="EV43" i="32"/>
  <c r="EW43" i="32"/>
  <c r="EX43" i="32"/>
  <c r="EY43" i="32"/>
  <c r="EZ43" i="32"/>
  <c r="FA43" i="32"/>
  <c r="FB43" i="32"/>
  <c r="FC43" i="32"/>
  <c r="FD43" i="32"/>
  <c r="FE43" i="32"/>
  <c r="FF43" i="32"/>
  <c r="FG43" i="32"/>
  <c r="FH43" i="32"/>
  <c r="FI43" i="32"/>
  <c r="FJ43" i="32"/>
  <c r="FK43" i="32"/>
  <c r="FL43" i="32"/>
  <c r="FM43" i="32"/>
  <c r="FN43" i="32"/>
  <c r="FO43" i="32"/>
  <c r="FP43" i="32"/>
  <c r="FQ43" i="32"/>
  <c r="FR43" i="32"/>
  <c r="FS43" i="32"/>
  <c r="FT43" i="32"/>
  <c r="FU43" i="32"/>
  <c r="FV43" i="32"/>
  <c r="FW43" i="32"/>
  <c r="FX43" i="32"/>
  <c r="FY43" i="32"/>
  <c r="FZ43" i="32"/>
  <c r="GA43" i="32"/>
  <c r="GB43" i="32"/>
  <c r="GC43" i="32"/>
  <c r="GD43" i="32"/>
  <c r="GE43" i="32"/>
  <c r="GF43" i="32"/>
  <c r="GG43" i="32"/>
  <c r="GH43" i="32"/>
  <c r="GI43" i="32"/>
  <c r="GJ43" i="32"/>
  <c r="GK43" i="32"/>
  <c r="GL43" i="32"/>
  <c r="GM43" i="32"/>
  <c r="GN43" i="32"/>
  <c r="GO43" i="32"/>
  <c r="GP43" i="32"/>
  <c r="GQ43" i="32"/>
  <c r="GR43" i="32"/>
  <c r="GS43" i="32"/>
  <c r="GT43" i="32"/>
  <c r="GU43" i="32"/>
  <c r="GV43" i="32"/>
  <c r="GW43" i="32"/>
  <c r="GX43" i="32"/>
  <c r="GY43" i="32"/>
  <c r="GZ43" i="32"/>
  <c r="HA43" i="32"/>
  <c r="HB43" i="32"/>
  <c r="HC43" i="32"/>
  <c r="HD43" i="32"/>
  <c r="HE43" i="32"/>
  <c r="HF43" i="32"/>
  <c r="HG43" i="32"/>
  <c r="HH43" i="32"/>
  <c r="HI43" i="32"/>
  <c r="HJ43" i="32"/>
  <c r="HK43" i="32"/>
  <c r="HL43" i="32"/>
  <c r="HM43" i="32"/>
  <c r="HN43" i="32"/>
  <c r="HO43" i="32"/>
  <c r="HP43" i="32"/>
  <c r="HQ43" i="32"/>
  <c r="HR43" i="32"/>
  <c r="HS43" i="32"/>
  <c r="HT43" i="32"/>
  <c r="HU43" i="32"/>
  <c r="HV43" i="32"/>
  <c r="HW43" i="32"/>
  <c r="HX43" i="32"/>
  <c r="HY43" i="32"/>
  <c r="HZ43" i="32"/>
  <c r="IA43" i="32"/>
  <c r="IB43" i="32"/>
  <c r="IC43" i="32"/>
  <c r="ID43" i="32"/>
  <c r="IE43" i="32"/>
  <c r="IF43" i="32"/>
  <c r="IG43" i="32"/>
  <c r="IH43" i="32"/>
  <c r="II43" i="32"/>
  <c r="IJ43" i="32"/>
  <c r="IK43" i="32"/>
  <c r="IL43" i="32"/>
  <c r="IM43" i="32"/>
  <c r="IN43" i="32"/>
  <c r="IO43" i="32"/>
  <c r="IP43" i="32"/>
  <c r="IQ43" i="32"/>
  <c r="IR43" i="32"/>
  <c r="IS43" i="32"/>
  <c r="IT43" i="32"/>
  <c r="IU43" i="32"/>
  <c r="IV43" i="32"/>
  <c r="A42" i="32"/>
  <c r="B42" i="32"/>
  <c r="C42" i="32"/>
  <c r="D42" i="32"/>
  <c r="E42" i="32"/>
  <c r="F42" i="32"/>
  <c r="G42" i="32"/>
  <c r="H42" i="32"/>
  <c r="I42" i="32"/>
  <c r="J42" i="32"/>
  <c r="K42" i="32"/>
  <c r="L42" i="32"/>
  <c r="M42" i="32"/>
  <c r="N42" i="32"/>
  <c r="O42" i="32"/>
  <c r="P42" i="32"/>
  <c r="Q42" i="32"/>
  <c r="R42" i="32"/>
  <c r="S42" i="32"/>
  <c r="T42" i="32"/>
  <c r="U42" i="32"/>
  <c r="V42" i="32"/>
  <c r="W42" i="32"/>
  <c r="X42" i="32"/>
  <c r="Y42" i="32"/>
  <c r="Z42" i="32"/>
  <c r="AA42" i="32"/>
  <c r="AB42" i="32"/>
  <c r="AC42" i="32"/>
  <c r="AD42" i="32"/>
  <c r="AE42" i="32"/>
  <c r="AF42" i="32"/>
  <c r="AG42" i="32"/>
  <c r="AH42" i="32"/>
  <c r="AI42" i="32"/>
  <c r="AJ42" i="32"/>
  <c r="AK42" i="32"/>
  <c r="AL42" i="32"/>
  <c r="AM42" i="32"/>
  <c r="AN42" i="32"/>
  <c r="AO42" i="32"/>
  <c r="AP42" i="32"/>
  <c r="AQ42" i="32"/>
  <c r="AR42" i="32"/>
  <c r="AS42" i="32"/>
  <c r="AT42" i="32"/>
  <c r="AU42" i="32"/>
  <c r="AV42" i="32"/>
  <c r="AW42" i="32"/>
  <c r="AX42" i="32"/>
  <c r="AY42" i="32"/>
  <c r="AZ42" i="32"/>
  <c r="BA42" i="32"/>
  <c r="BB42" i="32"/>
  <c r="BC42" i="32"/>
  <c r="BD42" i="32"/>
  <c r="BE42" i="32"/>
  <c r="BF42" i="32"/>
  <c r="BG42" i="32"/>
  <c r="BH42" i="32"/>
  <c r="BI42" i="32"/>
  <c r="BJ42" i="32"/>
  <c r="BK42" i="32"/>
  <c r="BL42" i="32"/>
  <c r="BM42" i="32"/>
  <c r="BN42" i="32"/>
  <c r="BO42" i="32"/>
  <c r="BP42" i="32"/>
  <c r="BQ42" i="32"/>
  <c r="BR42" i="32"/>
  <c r="BS42" i="32"/>
  <c r="BT42" i="32"/>
  <c r="BU42" i="32"/>
  <c r="BV42" i="32"/>
  <c r="BW42" i="32"/>
  <c r="BX42" i="32"/>
  <c r="BY42" i="32"/>
  <c r="BZ42" i="32"/>
  <c r="CA42" i="32"/>
  <c r="CB42" i="32"/>
  <c r="CC42" i="32"/>
  <c r="CD42" i="32"/>
  <c r="CE42" i="32"/>
  <c r="CF42" i="32"/>
  <c r="CG42" i="32"/>
  <c r="CH42" i="32"/>
  <c r="CI42" i="32"/>
  <c r="CJ42" i="32"/>
  <c r="CK42" i="32"/>
  <c r="CL42" i="32"/>
  <c r="CM42" i="32"/>
  <c r="CN42" i="32"/>
  <c r="CO42" i="32"/>
  <c r="CP42" i="32"/>
  <c r="CQ42" i="32"/>
  <c r="CR42" i="32"/>
  <c r="CS42" i="32"/>
  <c r="CT42" i="32"/>
  <c r="CU42" i="32"/>
  <c r="CV42" i="32"/>
  <c r="CW42" i="32"/>
  <c r="CX42" i="32"/>
  <c r="CY42" i="32"/>
  <c r="CZ42" i="32"/>
  <c r="DA42" i="32"/>
  <c r="DB42" i="32"/>
  <c r="DC42" i="32"/>
  <c r="DD42" i="32"/>
  <c r="DE42" i="32"/>
  <c r="DF42" i="32"/>
  <c r="DG42" i="32"/>
  <c r="DH42" i="32"/>
  <c r="DI42" i="32"/>
  <c r="DJ42" i="32"/>
  <c r="DK42" i="32"/>
  <c r="DL42" i="32"/>
  <c r="DM42" i="32"/>
  <c r="DN42" i="32"/>
  <c r="DO42" i="32"/>
  <c r="DP42" i="32"/>
  <c r="DQ42" i="32"/>
  <c r="DR42" i="32"/>
  <c r="DS42" i="32"/>
  <c r="DT42" i="32"/>
  <c r="DU42" i="32"/>
  <c r="DV42" i="32"/>
  <c r="DW42" i="32"/>
  <c r="DX42" i="32"/>
  <c r="DY42" i="32"/>
  <c r="DZ42" i="32"/>
  <c r="EA42" i="32"/>
  <c r="EB42" i="32"/>
  <c r="EC42" i="32"/>
  <c r="ED42" i="32"/>
  <c r="EE42" i="32"/>
  <c r="EF42" i="32"/>
  <c r="EG42" i="32"/>
  <c r="EH42" i="32"/>
  <c r="EI42" i="32"/>
  <c r="EJ42" i="32"/>
  <c r="EK42" i="32"/>
  <c r="EL42" i="32"/>
  <c r="EM42" i="32"/>
  <c r="EN42" i="32"/>
  <c r="EO42" i="32"/>
  <c r="EP42" i="32"/>
  <c r="EQ42" i="32"/>
  <c r="ER42" i="32"/>
  <c r="ES42" i="32"/>
  <c r="ET42" i="32"/>
  <c r="EU42" i="32"/>
  <c r="EV42" i="32"/>
  <c r="EW42" i="32"/>
  <c r="EX42" i="32"/>
  <c r="EY42" i="32"/>
  <c r="EZ42" i="32"/>
  <c r="FA42" i="32"/>
  <c r="FB42" i="32"/>
  <c r="FC42" i="32"/>
  <c r="FD42" i="32"/>
  <c r="FE42" i="32"/>
  <c r="FF42" i="32"/>
  <c r="FG42" i="32"/>
  <c r="FH42" i="32"/>
  <c r="FI42" i="32"/>
  <c r="FJ42" i="32"/>
  <c r="FK42" i="32"/>
  <c r="FL42" i="32"/>
  <c r="FM42" i="32"/>
  <c r="FN42" i="32"/>
  <c r="FO42" i="32"/>
  <c r="FP42" i="32"/>
  <c r="FQ42" i="32"/>
  <c r="FR42" i="32"/>
  <c r="FS42" i="32"/>
  <c r="FT42" i="32"/>
  <c r="FU42" i="32"/>
  <c r="FV42" i="32"/>
  <c r="FW42" i="32"/>
  <c r="FX42" i="32"/>
  <c r="FY42" i="32"/>
  <c r="FZ42" i="32"/>
  <c r="GA42" i="32"/>
  <c r="GB42" i="32"/>
  <c r="GC42" i="32"/>
  <c r="GD42" i="32"/>
  <c r="GE42" i="32"/>
  <c r="GF42" i="32"/>
  <c r="GG42" i="32"/>
  <c r="GH42" i="32"/>
  <c r="GI42" i="32"/>
  <c r="GJ42" i="32"/>
  <c r="GK42" i="32"/>
  <c r="GL42" i="32"/>
  <c r="GM42" i="32"/>
  <c r="GN42" i="32"/>
  <c r="GO42" i="32"/>
  <c r="GP42" i="32"/>
  <c r="GQ42" i="32"/>
  <c r="GR42" i="32"/>
  <c r="GS42" i="32"/>
  <c r="GT42" i="32"/>
  <c r="GU42" i="32"/>
  <c r="GV42" i="32"/>
  <c r="GW42" i="32"/>
  <c r="GX42" i="32"/>
  <c r="GY42" i="32"/>
  <c r="GZ42" i="32"/>
  <c r="HA42" i="32"/>
  <c r="HB42" i="32"/>
  <c r="HC42" i="32"/>
  <c r="HD42" i="32"/>
  <c r="HE42" i="32"/>
  <c r="HF42" i="32"/>
  <c r="HG42" i="32"/>
  <c r="HH42" i="32"/>
  <c r="HI42" i="32"/>
  <c r="HJ42" i="32"/>
  <c r="HK42" i="32"/>
  <c r="HL42" i="32"/>
  <c r="HM42" i="32"/>
  <c r="HN42" i="32"/>
  <c r="HO42" i="32"/>
  <c r="HP42" i="32"/>
  <c r="HQ42" i="32"/>
  <c r="HR42" i="32"/>
  <c r="HS42" i="32"/>
  <c r="HT42" i="32"/>
  <c r="HU42" i="32"/>
  <c r="HV42" i="32"/>
  <c r="HW42" i="32"/>
  <c r="HX42" i="32"/>
  <c r="HY42" i="32"/>
  <c r="HZ42" i="32"/>
  <c r="IA42" i="32"/>
  <c r="IB42" i="32"/>
  <c r="IC42" i="32"/>
  <c r="ID42" i="32"/>
  <c r="IE42" i="32"/>
  <c r="IF42" i="32"/>
  <c r="IG42" i="32"/>
  <c r="IH42" i="32"/>
  <c r="II42" i="32"/>
  <c r="IJ42" i="32"/>
  <c r="IK42" i="32"/>
  <c r="IL42" i="32"/>
  <c r="IM42" i="32"/>
  <c r="IN42" i="32"/>
  <c r="IO42" i="32"/>
  <c r="IP42" i="32"/>
  <c r="IQ42" i="32"/>
  <c r="IR42" i="32"/>
  <c r="IS42" i="32"/>
  <c r="IT42" i="32"/>
  <c r="IU42" i="32"/>
  <c r="IV42" i="32"/>
  <c r="A41" i="32"/>
  <c r="B41" i="32"/>
  <c r="C41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AG41" i="32"/>
  <c r="AH41" i="32"/>
  <c r="AI41" i="32"/>
  <c r="AJ41" i="32"/>
  <c r="AK41" i="32"/>
  <c r="AL41" i="32"/>
  <c r="AM41" i="32"/>
  <c r="AN41" i="32"/>
  <c r="AO41" i="32"/>
  <c r="AP41" i="32"/>
  <c r="AQ41" i="32"/>
  <c r="AR41" i="32"/>
  <c r="AS41" i="32"/>
  <c r="AT41" i="32"/>
  <c r="AU41" i="32"/>
  <c r="AV41" i="32"/>
  <c r="AW41" i="32"/>
  <c r="AX41" i="32"/>
  <c r="AY41" i="32"/>
  <c r="AZ41" i="32"/>
  <c r="BA41" i="32"/>
  <c r="BB41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O41" i="32"/>
  <c r="BP41" i="32"/>
  <c r="BQ41" i="32"/>
  <c r="BR41" i="32"/>
  <c r="BS41" i="32"/>
  <c r="BT41" i="32"/>
  <c r="BU41" i="32"/>
  <c r="BV41" i="32"/>
  <c r="BW41" i="32"/>
  <c r="BX41" i="32"/>
  <c r="BY41" i="32"/>
  <c r="BZ41" i="32"/>
  <c r="CA41" i="32"/>
  <c r="CB41" i="32"/>
  <c r="CC41" i="32"/>
  <c r="CD41" i="32"/>
  <c r="CE41" i="32"/>
  <c r="CF41" i="32"/>
  <c r="CG41" i="32"/>
  <c r="CH41" i="32"/>
  <c r="CI41" i="32"/>
  <c r="CJ41" i="32"/>
  <c r="CK41" i="32"/>
  <c r="CL41" i="32"/>
  <c r="CM41" i="32"/>
  <c r="CN41" i="32"/>
  <c r="CO41" i="32"/>
  <c r="CP41" i="32"/>
  <c r="CQ41" i="32"/>
  <c r="CR41" i="32"/>
  <c r="CS41" i="32"/>
  <c r="CT41" i="32"/>
  <c r="CU41" i="32"/>
  <c r="CV41" i="32"/>
  <c r="CW41" i="32"/>
  <c r="CX41" i="32"/>
  <c r="CY41" i="32"/>
  <c r="CZ41" i="32"/>
  <c r="DA41" i="32"/>
  <c r="DB41" i="32"/>
  <c r="DC41" i="32"/>
  <c r="DD41" i="32"/>
  <c r="DE41" i="32"/>
  <c r="DF41" i="32"/>
  <c r="DG41" i="32"/>
  <c r="DH41" i="32"/>
  <c r="DI41" i="32"/>
  <c r="DJ41" i="32"/>
  <c r="DK41" i="32"/>
  <c r="DL41" i="32"/>
  <c r="DM41" i="32"/>
  <c r="DN41" i="32"/>
  <c r="DO41" i="32"/>
  <c r="DP41" i="32"/>
  <c r="DQ41" i="32"/>
  <c r="DR41" i="32"/>
  <c r="DS41" i="32"/>
  <c r="DT41" i="32"/>
  <c r="DU41" i="32"/>
  <c r="DV41" i="32"/>
  <c r="DW41" i="32"/>
  <c r="DX41" i="32"/>
  <c r="DY41" i="32"/>
  <c r="DZ41" i="32"/>
  <c r="EA41" i="32"/>
  <c r="EB41" i="32"/>
  <c r="EC41" i="32"/>
  <c r="ED41" i="32"/>
  <c r="EE41" i="32"/>
  <c r="EF41" i="32"/>
  <c r="EG41" i="32"/>
  <c r="EH41" i="32"/>
  <c r="EI41" i="32"/>
  <c r="EJ41" i="32"/>
  <c r="EK41" i="32"/>
  <c r="EL41" i="32"/>
  <c r="EM41" i="32"/>
  <c r="EN41" i="32"/>
  <c r="EO41" i="32"/>
  <c r="EP41" i="32"/>
  <c r="EQ41" i="32"/>
  <c r="ER41" i="32"/>
  <c r="ES41" i="32"/>
  <c r="ET41" i="32"/>
  <c r="EU41" i="32"/>
  <c r="EV41" i="32"/>
  <c r="EW41" i="32"/>
  <c r="EX41" i="32"/>
  <c r="EY41" i="32"/>
  <c r="EZ41" i="32"/>
  <c r="FA41" i="32"/>
  <c r="FB41" i="32"/>
  <c r="FC41" i="32"/>
  <c r="FD41" i="32"/>
  <c r="FE41" i="32"/>
  <c r="FF41" i="32"/>
  <c r="FG41" i="32"/>
  <c r="FH41" i="32"/>
  <c r="FI41" i="32"/>
  <c r="FJ41" i="32"/>
  <c r="FK41" i="32"/>
  <c r="FL41" i="32"/>
  <c r="FM41" i="32"/>
  <c r="FN41" i="32"/>
  <c r="FO41" i="32"/>
  <c r="FP41" i="32"/>
  <c r="FQ41" i="32"/>
  <c r="FR41" i="32"/>
  <c r="FS41" i="32"/>
  <c r="FT41" i="32"/>
  <c r="FU41" i="32"/>
  <c r="FV41" i="32"/>
  <c r="FW41" i="32"/>
  <c r="FX41" i="32"/>
  <c r="FY41" i="32"/>
  <c r="FZ41" i="32"/>
  <c r="GA41" i="32"/>
  <c r="GB41" i="32"/>
  <c r="GC41" i="32"/>
  <c r="GD41" i="32"/>
  <c r="GE41" i="32"/>
  <c r="GF41" i="32"/>
  <c r="GG41" i="32"/>
  <c r="GH41" i="32"/>
  <c r="GI41" i="32"/>
  <c r="GJ41" i="32"/>
  <c r="GK41" i="32"/>
  <c r="GL41" i="32"/>
  <c r="GM41" i="32"/>
  <c r="GN41" i="32"/>
  <c r="GO41" i="32"/>
  <c r="GP41" i="32"/>
  <c r="GQ41" i="32"/>
  <c r="GR41" i="32"/>
  <c r="GS41" i="32"/>
  <c r="GT41" i="32"/>
  <c r="GU41" i="32"/>
  <c r="GV41" i="32"/>
  <c r="GW41" i="32"/>
  <c r="GX41" i="32"/>
  <c r="GY41" i="32"/>
  <c r="GZ41" i="32"/>
  <c r="HA41" i="32"/>
  <c r="HB41" i="32"/>
  <c r="HC41" i="32"/>
  <c r="HD41" i="32"/>
  <c r="HE41" i="32"/>
  <c r="HF41" i="32"/>
  <c r="HG41" i="32"/>
  <c r="HH41" i="32"/>
  <c r="HI41" i="32"/>
  <c r="HJ41" i="32"/>
  <c r="HK41" i="32"/>
  <c r="HL41" i="32"/>
  <c r="HM41" i="32"/>
  <c r="HN41" i="32"/>
  <c r="HO41" i="32"/>
  <c r="HP41" i="32"/>
  <c r="HQ41" i="32"/>
  <c r="HR41" i="32"/>
  <c r="HS41" i="32"/>
  <c r="HT41" i="32"/>
  <c r="HU41" i="32"/>
  <c r="HV41" i="32"/>
  <c r="HW41" i="32"/>
  <c r="HX41" i="32"/>
  <c r="HY41" i="32"/>
  <c r="HZ41" i="32"/>
  <c r="IA41" i="32"/>
  <c r="IB41" i="32"/>
  <c r="IC41" i="32"/>
  <c r="ID41" i="32"/>
  <c r="IE41" i="32"/>
  <c r="IF41" i="32"/>
  <c r="IG41" i="32"/>
  <c r="IH41" i="32"/>
  <c r="II41" i="32"/>
  <c r="IJ41" i="32"/>
  <c r="IK41" i="32"/>
  <c r="IL41" i="32"/>
  <c r="IM41" i="32"/>
  <c r="IN41" i="32"/>
  <c r="IO41" i="32"/>
  <c r="IP41" i="32"/>
  <c r="IQ41" i="32"/>
  <c r="IR41" i="32"/>
  <c r="IS41" i="32"/>
  <c r="IT41" i="32"/>
  <c r="IU41" i="32"/>
  <c r="IV41" i="32"/>
  <c r="A40" i="32"/>
  <c r="B40" i="32"/>
  <c r="C40" i="32"/>
  <c r="D40" i="32"/>
  <c r="E40" i="32"/>
  <c r="F40" i="32"/>
  <c r="G40" i="32"/>
  <c r="H40" i="32"/>
  <c r="I40" i="32"/>
  <c r="J40" i="32"/>
  <c r="K40" i="32"/>
  <c r="L40" i="32"/>
  <c r="M40" i="32"/>
  <c r="N40" i="32"/>
  <c r="O40" i="32"/>
  <c r="P40" i="32"/>
  <c r="Q40" i="32"/>
  <c r="R40" i="32"/>
  <c r="S40" i="32"/>
  <c r="T40" i="32"/>
  <c r="U40" i="32"/>
  <c r="V40" i="32"/>
  <c r="W40" i="32"/>
  <c r="X40" i="32"/>
  <c r="Y40" i="32"/>
  <c r="Z40" i="32"/>
  <c r="AA40" i="32"/>
  <c r="AB40" i="32"/>
  <c r="AC40" i="32"/>
  <c r="AD40" i="32"/>
  <c r="AE40" i="32"/>
  <c r="AF40" i="32"/>
  <c r="AG40" i="32"/>
  <c r="AH40" i="32"/>
  <c r="AI40" i="32"/>
  <c r="AJ40" i="32"/>
  <c r="AK40" i="32"/>
  <c r="AL40" i="32"/>
  <c r="AM40" i="32"/>
  <c r="AN40" i="32"/>
  <c r="AO40" i="32"/>
  <c r="AP40" i="32"/>
  <c r="AQ40" i="32"/>
  <c r="AR40" i="32"/>
  <c r="AS40" i="32"/>
  <c r="AT40" i="32"/>
  <c r="AU40" i="32"/>
  <c r="AV40" i="32"/>
  <c r="AW40" i="32"/>
  <c r="AX40" i="32"/>
  <c r="AY40" i="32"/>
  <c r="AZ40" i="32"/>
  <c r="BA40" i="32"/>
  <c r="BB40" i="32"/>
  <c r="BC40" i="32"/>
  <c r="BD40" i="32"/>
  <c r="BE40" i="32"/>
  <c r="BF40" i="32"/>
  <c r="BG40" i="32"/>
  <c r="BH40" i="32"/>
  <c r="BI40" i="32"/>
  <c r="BJ40" i="32"/>
  <c r="BK40" i="32"/>
  <c r="BL40" i="32"/>
  <c r="BM40" i="32"/>
  <c r="BN40" i="32"/>
  <c r="BO40" i="32"/>
  <c r="BP40" i="32"/>
  <c r="BQ40" i="32"/>
  <c r="BR40" i="32"/>
  <c r="BS40" i="32"/>
  <c r="BT40" i="32"/>
  <c r="BU40" i="32"/>
  <c r="BV40" i="32"/>
  <c r="BW40" i="32"/>
  <c r="BX40" i="32"/>
  <c r="BY40" i="32"/>
  <c r="BZ40" i="32"/>
  <c r="CA40" i="32"/>
  <c r="CB40" i="32"/>
  <c r="CC40" i="32"/>
  <c r="CD40" i="32"/>
  <c r="CE40" i="32"/>
  <c r="CF40" i="32"/>
  <c r="CG40" i="32"/>
  <c r="CH40" i="32"/>
  <c r="CI40" i="32"/>
  <c r="CJ40" i="32"/>
  <c r="CK40" i="32"/>
  <c r="CL40" i="32"/>
  <c r="CM40" i="32"/>
  <c r="CN40" i="32"/>
  <c r="CO40" i="32"/>
  <c r="CP40" i="32"/>
  <c r="CQ40" i="32"/>
  <c r="CR40" i="32"/>
  <c r="CS40" i="32"/>
  <c r="CT40" i="32"/>
  <c r="CU40" i="32"/>
  <c r="CV40" i="32"/>
  <c r="CW40" i="32"/>
  <c r="CX40" i="32"/>
  <c r="CY40" i="32"/>
  <c r="CZ40" i="32"/>
  <c r="DA40" i="32"/>
  <c r="DB40" i="32"/>
  <c r="DC40" i="32"/>
  <c r="DD40" i="32"/>
  <c r="DE40" i="32"/>
  <c r="DF40" i="32"/>
  <c r="DG40" i="32"/>
  <c r="DH40" i="32"/>
  <c r="DI40" i="32"/>
  <c r="DJ40" i="32"/>
  <c r="DK40" i="32"/>
  <c r="DL40" i="32"/>
  <c r="DM40" i="32"/>
  <c r="DN40" i="32"/>
  <c r="DO40" i="32"/>
  <c r="DP40" i="32"/>
  <c r="DQ40" i="32"/>
  <c r="DR40" i="32"/>
  <c r="DS40" i="32"/>
  <c r="DT40" i="32"/>
  <c r="DU40" i="32"/>
  <c r="DV40" i="32"/>
  <c r="DW40" i="32"/>
  <c r="DX40" i="32"/>
  <c r="DY40" i="32"/>
  <c r="DZ40" i="32"/>
  <c r="EA40" i="32"/>
  <c r="EB40" i="32"/>
  <c r="EC40" i="32"/>
  <c r="ED40" i="32"/>
  <c r="EE40" i="32"/>
  <c r="EF40" i="32"/>
  <c r="EG40" i="32"/>
  <c r="EH40" i="32"/>
  <c r="EI40" i="32"/>
  <c r="EJ40" i="32"/>
  <c r="EK40" i="32"/>
  <c r="EL40" i="32"/>
  <c r="EM40" i="32"/>
  <c r="EN40" i="32"/>
  <c r="EO40" i="32"/>
  <c r="EP40" i="32"/>
  <c r="EQ40" i="32"/>
  <c r="ER40" i="32"/>
  <c r="ES40" i="32"/>
  <c r="ET40" i="32"/>
  <c r="EU40" i="32"/>
  <c r="EV40" i="32"/>
  <c r="EW40" i="32"/>
  <c r="EX40" i="32"/>
  <c r="EY40" i="32"/>
  <c r="EZ40" i="32"/>
  <c r="FA40" i="32"/>
  <c r="FB40" i="32"/>
  <c r="FC40" i="32"/>
  <c r="FD40" i="32"/>
  <c r="FE40" i="32"/>
  <c r="FF40" i="32"/>
  <c r="FG40" i="32"/>
  <c r="FH40" i="32"/>
  <c r="FI40" i="32"/>
  <c r="FJ40" i="32"/>
  <c r="FK40" i="32"/>
  <c r="FL40" i="32"/>
  <c r="FM40" i="32"/>
  <c r="FN40" i="32"/>
  <c r="FO40" i="32"/>
  <c r="FP40" i="32"/>
  <c r="FQ40" i="32"/>
  <c r="FR40" i="32"/>
  <c r="FS40" i="32"/>
  <c r="FT40" i="32"/>
  <c r="FU40" i="32"/>
  <c r="FV40" i="32"/>
  <c r="FW40" i="32"/>
  <c r="FX40" i="32"/>
  <c r="FY40" i="32"/>
  <c r="FZ40" i="32"/>
  <c r="GA40" i="32"/>
  <c r="GB40" i="32"/>
  <c r="GC40" i="32"/>
  <c r="GD40" i="32"/>
  <c r="GE40" i="32"/>
  <c r="GF40" i="32"/>
  <c r="GG40" i="32"/>
  <c r="GH40" i="32"/>
  <c r="GI40" i="32"/>
  <c r="GJ40" i="32"/>
  <c r="GK40" i="32"/>
  <c r="GL40" i="32"/>
  <c r="GM40" i="32"/>
  <c r="GN40" i="32"/>
  <c r="GO40" i="32"/>
  <c r="GP40" i="32"/>
  <c r="GQ40" i="32"/>
  <c r="GR40" i="32"/>
  <c r="GS40" i="32"/>
  <c r="GT40" i="32"/>
  <c r="GU40" i="32"/>
  <c r="GV40" i="32"/>
  <c r="GW40" i="32"/>
  <c r="GX40" i="32"/>
  <c r="GY40" i="32"/>
  <c r="GZ40" i="32"/>
  <c r="HA40" i="32"/>
  <c r="HB40" i="32"/>
  <c r="HC40" i="32"/>
  <c r="HD40" i="32"/>
  <c r="HE40" i="32"/>
  <c r="HF40" i="32"/>
  <c r="HG40" i="32"/>
  <c r="HH40" i="32"/>
  <c r="HI40" i="32"/>
  <c r="HJ40" i="32"/>
  <c r="HK40" i="32"/>
  <c r="HL40" i="32"/>
  <c r="HM40" i="32"/>
  <c r="HN40" i="32"/>
  <c r="HO40" i="32"/>
  <c r="HP40" i="32"/>
  <c r="HQ40" i="32"/>
  <c r="HR40" i="32"/>
  <c r="HS40" i="32"/>
  <c r="HT40" i="32"/>
  <c r="HU40" i="32"/>
  <c r="HV40" i="32"/>
  <c r="HW40" i="32"/>
  <c r="HX40" i="32"/>
  <c r="HY40" i="32"/>
  <c r="HZ40" i="32"/>
  <c r="IA40" i="32"/>
  <c r="IB40" i="32"/>
  <c r="IC40" i="32"/>
  <c r="ID40" i="32"/>
  <c r="IE40" i="32"/>
  <c r="IF40" i="32"/>
  <c r="IG40" i="32"/>
  <c r="IH40" i="32"/>
  <c r="II40" i="32"/>
  <c r="IJ40" i="32"/>
  <c r="IK40" i="32"/>
  <c r="IL40" i="32"/>
  <c r="IM40" i="32"/>
  <c r="IN40" i="32"/>
  <c r="IO40" i="32"/>
  <c r="IP40" i="32"/>
  <c r="IQ40" i="32"/>
  <c r="IR40" i="32"/>
  <c r="IS40" i="32"/>
  <c r="IT40" i="32"/>
  <c r="IU40" i="32"/>
  <c r="IV40" i="32"/>
  <c r="A39" i="32"/>
  <c r="B39" i="32"/>
  <c r="C39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AN39" i="32"/>
  <c r="AO39" i="32"/>
  <c r="AP39" i="32"/>
  <c r="AQ39" i="32"/>
  <c r="AR39" i="32"/>
  <c r="AS39" i="32"/>
  <c r="AT39" i="32"/>
  <c r="AU39" i="32"/>
  <c r="AV39" i="32"/>
  <c r="AW39" i="32"/>
  <c r="AX39" i="32"/>
  <c r="AY39" i="32"/>
  <c r="AZ39" i="32"/>
  <c r="BA39" i="32"/>
  <c r="BB39" i="32"/>
  <c r="BC39" i="32"/>
  <c r="BD39" i="32"/>
  <c r="BE39" i="32"/>
  <c r="BF39" i="32"/>
  <c r="BG39" i="32"/>
  <c r="BH39" i="32"/>
  <c r="BI39" i="32"/>
  <c r="BJ39" i="32"/>
  <c r="BK39" i="32"/>
  <c r="BL39" i="32"/>
  <c r="BM39" i="32"/>
  <c r="BN39" i="32"/>
  <c r="BO39" i="32"/>
  <c r="BP39" i="32"/>
  <c r="BQ39" i="32"/>
  <c r="BR39" i="32"/>
  <c r="BS39" i="32"/>
  <c r="BT39" i="32"/>
  <c r="BU39" i="32"/>
  <c r="BV39" i="32"/>
  <c r="BW39" i="32"/>
  <c r="BX39" i="32"/>
  <c r="BY39" i="32"/>
  <c r="BZ39" i="32"/>
  <c r="CA39" i="32"/>
  <c r="CB39" i="32"/>
  <c r="CC39" i="32"/>
  <c r="CD39" i="32"/>
  <c r="CE39" i="32"/>
  <c r="CF39" i="32"/>
  <c r="CG39" i="32"/>
  <c r="CH39" i="32"/>
  <c r="CI39" i="32"/>
  <c r="CJ39" i="32"/>
  <c r="CK39" i="32"/>
  <c r="CL39" i="32"/>
  <c r="CM39" i="32"/>
  <c r="CN39" i="32"/>
  <c r="CO39" i="32"/>
  <c r="CP39" i="32"/>
  <c r="CQ39" i="32"/>
  <c r="CR39" i="32"/>
  <c r="CS39" i="32"/>
  <c r="CT39" i="32"/>
  <c r="CU39" i="32"/>
  <c r="CV39" i="32"/>
  <c r="CW39" i="32"/>
  <c r="CX39" i="32"/>
  <c r="CY39" i="32"/>
  <c r="CZ39" i="32"/>
  <c r="DA39" i="32"/>
  <c r="DB39" i="32"/>
  <c r="DC39" i="32"/>
  <c r="DD39" i="32"/>
  <c r="DE39" i="32"/>
  <c r="DF39" i="32"/>
  <c r="DG39" i="32"/>
  <c r="DH39" i="32"/>
  <c r="DI39" i="32"/>
  <c r="DJ39" i="32"/>
  <c r="DK39" i="32"/>
  <c r="DL39" i="32"/>
  <c r="DM39" i="32"/>
  <c r="DN39" i="32"/>
  <c r="DO39" i="32"/>
  <c r="DP39" i="32"/>
  <c r="DQ39" i="32"/>
  <c r="DR39" i="32"/>
  <c r="DS39" i="32"/>
  <c r="DT39" i="32"/>
  <c r="DU39" i="32"/>
  <c r="DV39" i="32"/>
  <c r="DW39" i="32"/>
  <c r="DX39" i="32"/>
  <c r="DY39" i="32"/>
  <c r="DZ39" i="32"/>
  <c r="EA39" i="32"/>
  <c r="EB39" i="32"/>
  <c r="EC39" i="32"/>
  <c r="ED39" i="32"/>
  <c r="EE39" i="32"/>
  <c r="EF39" i="32"/>
  <c r="EG39" i="32"/>
  <c r="EH39" i="32"/>
  <c r="EI39" i="32"/>
  <c r="EJ39" i="32"/>
  <c r="EK39" i="32"/>
  <c r="EL39" i="32"/>
  <c r="EM39" i="32"/>
  <c r="EN39" i="32"/>
  <c r="EO39" i="32"/>
  <c r="EP39" i="32"/>
  <c r="EQ39" i="32"/>
  <c r="ER39" i="32"/>
  <c r="ES39" i="32"/>
  <c r="ET39" i="32"/>
  <c r="EU39" i="32"/>
  <c r="EV39" i="32"/>
  <c r="EW39" i="32"/>
  <c r="EX39" i="32"/>
  <c r="EY39" i="32"/>
  <c r="EZ39" i="32"/>
  <c r="FA39" i="32"/>
  <c r="FB39" i="32"/>
  <c r="FC39" i="32"/>
  <c r="FD39" i="32"/>
  <c r="FE39" i="32"/>
  <c r="FF39" i="32"/>
  <c r="FG39" i="32"/>
  <c r="FH39" i="32"/>
  <c r="FI39" i="32"/>
  <c r="FJ39" i="32"/>
  <c r="FK39" i="32"/>
  <c r="FL39" i="32"/>
  <c r="FM39" i="32"/>
  <c r="FN39" i="32"/>
  <c r="FO39" i="32"/>
  <c r="FP39" i="32"/>
  <c r="FQ39" i="32"/>
  <c r="FR39" i="32"/>
  <c r="FS39" i="32"/>
  <c r="FT39" i="32"/>
  <c r="FU39" i="32"/>
  <c r="FV39" i="32"/>
  <c r="FW39" i="32"/>
  <c r="FX39" i="32"/>
  <c r="FY39" i="32"/>
  <c r="FZ39" i="32"/>
  <c r="GA39" i="32"/>
  <c r="GB39" i="32"/>
  <c r="GC39" i="32"/>
  <c r="GD39" i="32"/>
  <c r="GE39" i="32"/>
  <c r="GF39" i="32"/>
  <c r="GG39" i="32"/>
  <c r="GH39" i="32"/>
  <c r="GI39" i="32"/>
  <c r="GJ39" i="32"/>
  <c r="GK39" i="32"/>
  <c r="GL39" i="32"/>
  <c r="GM39" i="32"/>
  <c r="GN39" i="32"/>
  <c r="GO39" i="32"/>
  <c r="GP39" i="32"/>
  <c r="GQ39" i="32"/>
  <c r="GR39" i="32"/>
  <c r="GS39" i="32"/>
  <c r="GT39" i="32"/>
  <c r="GU39" i="32"/>
  <c r="GV39" i="32"/>
  <c r="GW39" i="32"/>
  <c r="GX39" i="32"/>
  <c r="GY39" i="32"/>
  <c r="GZ39" i="32"/>
  <c r="HA39" i="32"/>
  <c r="HB39" i="32"/>
  <c r="HC39" i="32"/>
  <c r="HD39" i="32"/>
  <c r="HE39" i="32"/>
  <c r="HF39" i="32"/>
  <c r="HG39" i="32"/>
  <c r="HH39" i="32"/>
  <c r="HI39" i="32"/>
  <c r="HJ39" i="32"/>
  <c r="HK39" i="32"/>
  <c r="HL39" i="32"/>
  <c r="HM39" i="32"/>
  <c r="HN39" i="32"/>
  <c r="HO39" i="32"/>
  <c r="HP39" i="32"/>
  <c r="HQ39" i="32"/>
  <c r="HR39" i="32"/>
  <c r="HS39" i="32"/>
  <c r="HT39" i="32"/>
  <c r="HU39" i="32"/>
  <c r="HV39" i="32"/>
  <c r="HW39" i="32"/>
  <c r="HX39" i="32"/>
  <c r="HY39" i="32"/>
  <c r="HZ39" i="32"/>
  <c r="IA39" i="32"/>
  <c r="IB39" i="32"/>
  <c r="IC39" i="32"/>
  <c r="ID39" i="32"/>
  <c r="IE39" i="32"/>
  <c r="IF39" i="32"/>
  <c r="IG39" i="32"/>
  <c r="IH39" i="32"/>
  <c r="II39" i="32"/>
  <c r="IJ39" i="32"/>
  <c r="IK39" i="32"/>
  <c r="IL39" i="32"/>
  <c r="IM39" i="32"/>
  <c r="IN39" i="32"/>
  <c r="IO39" i="32"/>
  <c r="IP39" i="32"/>
  <c r="IQ39" i="32"/>
  <c r="IR39" i="32"/>
  <c r="IS39" i="32"/>
  <c r="IT39" i="32"/>
  <c r="IU39" i="32"/>
  <c r="IV39" i="32"/>
  <c r="A38" i="32"/>
  <c r="B38" i="32"/>
  <c r="C38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AM38" i="32"/>
  <c r="AN38" i="32"/>
  <c r="AO38" i="32"/>
  <c r="AP38" i="32"/>
  <c r="AQ38" i="32"/>
  <c r="AR38" i="32"/>
  <c r="AS38" i="32"/>
  <c r="AT38" i="32"/>
  <c r="AU38" i="32"/>
  <c r="AV38" i="32"/>
  <c r="AW38" i="32"/>
  <c r="AX38" i="32"/>
  <c r="AY38" i="32"/>
  <c r="AZ38" i="32"/>
  <c r="BA38" i="32"/>
  <c r="BB38" i="32"/>
  <c r="BC38" i="32"/>
  <c r="BD38" i="32"/>
  <c r="BE38" i="32"/>
  <c r="BF38" i="32"/>
  <c r="BG38" i="32"/>
  <c r="BH38" i="32"/>
  <c r="BI38" i="32"/>
  <c r="BJ38" i="32"/>
  <c r="BK38" i="32"/>
  <c r="BL38" i="32"/>
  <c r="BM38" i="32"/>
  <c r="BN38" i="32"/>
  <c r="BO38" i="32"/>
  <c r="BP38" i="32"/>
  <c r="BQ38" i="32"/>
  <c r="BR38" i="32"/>
  <c r="BS38" i="32"/>
  <c r="BT38" i="32"/>
  <c r="BU38" i="32"/>
  <c r="BV38" i="32"/>
  <c r="BW38" i="32"/>
  <c r="BX38" i="32"/>
  <c r="BY38" i="32"/>
  <c r="BZ38" i="32"/>
  <c r="CA38" i="32"/>
  <c r="CB38" i="32"/>
  <c r="CC38" i="32"/>
  <c r="CD38" i="32"/>
  <c r="CE38" i="32"/>
  <c r="CF38" i="32"/>
  <c r="CG38" i="32"/>
  <c r="CH38" i="32"/>
  <c r="CI38" i="32"/>
  <c r="CJ38" i="32"/>
  <c r="CK38" i="32"/>
  <c r="CL38" i="32"/>
  <c r="CM38" i="32"/>
  <c r="CN38" i="32"/>
  <c r="CO38" i="32"/>
  <c r="CP38" i="32"/>
  <c r="CQ38" i="32"/>
  <c r="CR38" i="32"/>
  <c r="CS38" i="32"/>
  <c r="CT38" i="32"/>
  <c r="CU38" i="32"/>
  <c r="CV38" i="32"/>
  <c r="CW38" i="32"/>
  <c r="CX38" i="32"/>
  <c r="CY38" i="32"/>
  <c r="CZ38" i="32"/>
  <c r="DA38" i="32"/>
  <c r="DB38" i="32"/>
  <c r="DC38" i="32"/>
  <c r="DD38" i="32"/>
  <c r="DE38" i="32"/>
  <c r="DF38" i="32"/>
  <c r="DG38" i="32"/>
  <c r="DH38" i="32"/>
  <c r="DI38" i="32"/>
  <c r="DJ38" i="32"/>
  <c r="DK38" i="32"/>
  <c r="DL38" i="32"/>
  <c r="DM38" i="32"/>
  <c r="DN38" i="32"/>
  <c r="DO38" i="32"/>
  <c r="DP38" i="32"/>
  <c r="DQ38" i="32"/>
  <c r="DR38" i="32"/>
  <c r="DS38" i="32"/>
  <c r="DT38" i="32"/>
  <c r="DU38" i="32"/>
  <c r="DV38" i="32"/>
  <c r="DW38" i="32"/>
  <c r="DX38" i="32"/>
  <c r="DY38" i="32"/>
  <c r="DZ38" i="32"/>
  <c r="EA38" i="32"/>
  <c r="EB38" i="32"/>
  <c r="EC38" i="32"/>
  <c r="ED38" i="32"/>
  <c r="EE38" i="32"/>
  <c r="EF38" i="32"/>
  <c r="EG38" i="32"/>
  <c r="EH38" i="32"/>
  <c r="EI38" i="32"/>
  <c r="EJ38" i="32"/>
  <c r="EK38" i="32"/>
  <c r="EL38" i="32"/>
  <c r="EM38" i="32"/>
  <c r="EN38" i="32"/>
  <c r="EO38" i="32"/>
  <c r="EP38" i="32"/>
  <c r="EQ38" i="32"/>
  <c r="ER38" i="32"/>
  <c r="ES38" i="32"/>
  <c r="ET38" i="32"/>
  <c r="EU38" i="32"/>
  <c r="EV38" i="32"/>
  <c r="EW38" i="32"/>
  <c r="EX38" i="32"/>
  <c r="EY38" i="32"/>
  <c r="EZ38" i="32"/>
  <c r="FA38" i="32"/>
  <c r="FB38" i="32"/>
  <c r="FC38" i="32"/>
  <c r="FD38" i="32"/>
  <c r="FE38" i="32"/>
  <c r="FF38" i="32"/>
  <c r="FG38" i="32"/>
  <c r="FH38" i="32"/>
  <c r="FI38" i="32"/>
  <c r="FJ38" i="32"/>
  <c r="FK38" i="32"/>
  <c r="FL38" i="32"/>
  <c r="FM38" i="32"/>
  <c r="FN38" i="32"/>
  <c r="FO38" i="32"/>
  <c r="FP38" i="32"/>
  <c r="FQ38" i="32"/>
  <c r="FR38" i="32"/>
  <c r="FS38" i="32"/>
  <c r="FT38" i="32"/>
  <c r="FU38" i="32"/>
  <c r="FV38" i="32"/>
  <c r="FW38" i="32"/>
  <c r="FX38" i="32"/>
  <c r="FY38" i="32"/>
  <c r="FZ38" i="32"/>
  <c r="GA38" i="32"/>
  <c r="GB38" i="32"/>
  <c r="GC38" i="32"/>
  <c r="GD38" i="32"/>
  <c r="GE38" i="32"/>
  <c r="GF38" i="32"/>
  <c r="GG38" i="32"/>
  <c r="GH38" i="32"/>
  <c r="GI38" i="32"/>
  <c r="GJ38" i="32"/>
  <c r="GK38" i="32"/>
  <c r="GL38" i="32"/>
  <c r="GM38" i="32"/>
  <c r="GN38" i="32"/>
  <c r="GO38" i="32"/>
  <c r="GP38" i="32"/>
  <c r="GQ38" i="32"/>
  <c r="GR38" i="32"/>
  <c r="GS38" i="32"/>
  <c r="GT38" i="32"/>
  <c r="GU38" i="32"/>
  <c r="GV38" i="32"/>
  <c r="GW38" i="32"/>
  <c r="GX38" i="32"/>
  <c r="GY38" i="32"/>
  <c r="GZ38" i="32"/>
  <c r="HA38" i="32"/>
  <c r="HB38" i="32"/>
  <c r="HC38" i="32"/>
  <c r="HD38" i="32"/>
  <c r="HE38" i="32"/>
  <c r="HF38" i="32"/>
  <c r="HG38" i="32"/>
  <c r="HH38" i="32"/>
  <c r="HI38" i="32"/>
  <c r="HJ38" i="32"/>
  <c r="HK38" i="32"/>
  <c r="HL38" i="32"/>
  <c r="HM38" i="32"/>
  <c r="HN38" i="32"/>
  <c r="HO38" i="32"/>
  <c r="HP38" i="32"/>
  <c r="HQ38" i="32"/>
  <c r="HR38" i="32"/>
  <c r="HS38" i="32"/>
  <c r="HT38" i="32"/>
  <c r="HU38" i="32"/>
  <c r="HV38" i="32"/>
  <c r="HW38" i="32"/>
  <c r="HX38" i="32"/>
  <c r="HY38" i="32"/>
  <c r="HZ38" i="32"/>
  <c r="IA38" i="32"/>
  <c r="IB38" i="32"/>
  <c r="IC38" i="32"/>
  <c r="ID38" i="32"/>
  <c r="IE38" i="32"/>
  <c r="IF38" i="32"/>
  <c r="IG38" i="32"/>
  <c r="IH38" i="32"/>
  <c r="II38" i="32"/>
  <c r="IJ38" i="32"/>
  <c r="IK38" i="32"/>
  <c r="IL38" i="32"/>
  <c r="IM38" i="32"/>
  <c r="IN38" i="32"/>
  <c r="IO38" i="32"/>
  <c r="IP38" i="32"/>
  <c r="IQ38" i="32"/>
  <c r="IR38" i="32"/>
  <c r="IS38" i="32"/>
  <c r="IT38" i="32"/>
  <c r="IU38" i="32"/>
  <c r="IV38" i="32"/>
  <c r="A37" i="32"/>
  <c r="B37" i="32"/>
  <c r="C37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AP37" i="32"/>
  <c r="AQ37" i="32"/>
  <c r="AR37" i="32"/>
  <c r="AS37" i="32"/>
  <c r="AT37" i="32"/>
  <c r="AU37" i="32"/>
  <c r="AV37" i="32"/>
  <c r="AW37" i="32"/>
  <c r="AX37" i="32"/>
  <c r="AY37" i="32"/>
  <c r="AZ37" i="32"/>
  <c r="BA37" i="32"/>
  <c r="BB37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O37" i="32"/>
  <c r="BP37" i="32"/>
  <c r="BQ37" i="32"/>
  <c r="BR37" i="32"/>
  <c r="BS37" i="32"/>
  <c r="BT37" i="32"/>
  <c r="BU37" i="32"/>
  <c r="BV37" i="32"/>
  <c r="BW37" i="32"/>
  <c r="BX37" i="32"/>
  <c r="BY37" i="32"/>
  <c r="BZ37" i="32"/>
  <c r="CA37" i="32"/>
  <c r="CB37" i="32"/>
  <c r="CC37" i="32"/>
  <c r="CD37" i="32"/>
  <c r="CE37" i="32"/>
  <c r="CF37" i="32"/>
  <c r="CG37" i="32"/>
  <c r="CH37" i="32"/>
  <c r="CI37" i="32"/>
  <c r="CJ37" i="32"/>
  <c r="CK37" i="32"/>
  <c r="CL37" i="32"/>
  <c r="CM37" i="32"/>
  <c r="CN37" i="32"/>
  <c r="CO37" i="32"/>
  <c r="CP37" i="32"/>
  <c r="CQ37" i="32"/>
  <c r="CR37" i="32"/>
  <c r="CS37" i="32"/>
  <c r="CT37" i="32"/>
  <c r="CU37" i="32"/>
  <c r="CV37" i="32"/>
  <c r="CW37" i="32"/>
  <c r="CX37" i="32"/>
  <c r="CY37" i="32"/>
  <c r="CZ37" i="32"/>
  <c r="DA37" i="32"/>
  <c r="DB37" i="32"/>
  <c r="DC37" i="32"/>
  <c r="DD37" i="32"/>
  <c r="DE37" i="32"/>
  <c r="DF37" i="32"/>
  <c r="DG37" i="32"/>
  <c r="DH37" i="32"/>
  <c r="DI37" i="32"/>
  <c r="DJ37" i="32"/>
  <c r="DK37" i="32"/>
  <c r="DL37" i="32"/>
  <c r="DM37" i="32"/>
  <c r="DN37" i="32"/>
  <c r="DO37" i="32"/>
  <c r="DP37" i="32"/>
  <c r="DQ37" i="32"/>
  <c r="DR37" i="32"/>
  <c r="DS37" i="32"/>
  <c r="DT37" i="32"/>
  <c r="DU37" i="32"/>
  <c r="DV37" i="32"/>
  <c r="DW37" i="32"/>
  <c r="DX37" i="32"/>
  <c r="DY37" i="32"/>
  <c r="DZ37" i="32"/>
  <c r="EA37" i="32"/>
  <c r="EB37" i="32"/>
  <c r="EC37" i="32"/>
  <c r="ED37" i="32"/>
  <c r="EE37" i="32"/>
  <c r="EF37" i="32"/>
  <c r="EG37" i="32"/>
  <c r="EH37" i="32"/>
  <c r="EI37" i="32"/>
  <c r="EJ37" i="32"/>
  <c r="EK37" i="32"/>
  <c r="EL37" i="32"/>
  <c r="EM37" i="32"/>
  <c r="EN37" i="32"/>
  <c r="EO37" i="32"/>
  <c r="EP37" i="32"/>
  <c r="EQ37" i="32"/>
  <c r="ER37" i="32"/>
  <c r="ES37" i="32"/>
  <c r="ET37" i="32"/>
  <c r="EU37" i="32"/>
  <c r="EV37" i="32"/>
  <c r="EW37" i="32"/>
  <c r="EX37" i="32"/>
  <c r="EY37" i="32"/>
  <c r="EZ37" i="32"/>
  <c r="FA37" i="32"/>
  <c r="FB37" i="32"/>
  <c r="FC37" i="32"/>
  <c r="FD37" i="32"/>
  <c r="FE37" i="32"/>
  <c r="FF37" i="32"/>
  <c r="FG37" i="32"/>
  <c r="FH37" i="32"/>
  <c r="FI37" i="32"/>
  <c r="FJ37" i="32"/>
  <c r="FK37" i="32"/>
  <c r="FL37" i="32"/>
  <c r="FM37" i="32"/>
  <c r="FN37" i="32"/>
  <c r="FO37" i="32"/>
  <c r="FP37" i="32"/>
  <c r="FQ37" i="32"/>
  <c r="FR37" i="32"/>
  <c r="FS37" i="32"/>
  <c r="FT37" i="32"/>
  <c r="FU37" i="32"/>
  <c r="FV37" i="32"/>
  <c r="FW37" i="32"/>
  <c r="FX37" i="32"/>
  <c r="FY37" i="32"/>
  <c r="FZ37" i="32"/>
  <c r="GA37" i="32"/>
  <c r="GB37" i="32"/>
  <c r="GC37" i="32"/>
  <c r="GD37" i="32"/>
  <c r="GE37" i="32"/>
  <c r="GF37" i="32"/>
  <c r="GG37" i="32"/>
  <c r="GH37" i="32"/>
  <c r="GI37" i="32"/>
  <c r="GJ37" i="32"/>
  <c r="GK37" i="32"/>
  <c r="GL37" i="32"/>
  <c r="GM37" i="32"/>
  <c r="GN37" i="32"/>
  <c r="GO37" i="32"/>
  <c r="GP37" i="32"/>
  <c r="GQ37" i="32"/>
  <c r="GR37" i="32"/>
  <c r="GS37" i="32"/>
  <c r="GT37" i="32"/>
  <c r="GU37" i="32"/>
  <c r="GV37" i="32"/>
  <c r="GW37" i="32"/>
  <c r="GX37" i="32"/>
  <c r="GY37" i="32"/>
  <c r="GZ37" i="32"/>
  <c r="HA37" i="32"/>
  <c r="HB37" i="32"/>
  <c r="HC37" i="32"/>
  <c r="HD37" i="32"/>
  <c r="HE37" i="32"/>
  <c r="HF37" i="32"/>
  <c r="HG37" i="32"/>
  <c r="HH37" i="32"/>
  <c r="HI37" i="32"/>
  <c r="HJ37" i="32"/>
  <c r="HK37" i="32"/>
  <c r="HL37" i="32"/>
  <c r="HM37" i="32"/>
  <c r="HN37" i="32"/>
  <c r="HO37" i="32"/>
  <c r="HP37" i="32"/>
  <c r="HQ37" i="32"/>
  <c r="HR37" i="32"/>
  <c r="HS37" i="32"/>
  <c r="HT37" i="32"/>
  <c r="HU37" i="32"/>
  <c r="HV37" i="32"/>
  <c r="HW37" i="32"/>
  <c r="HX37" i="32"/>
  <c r="HY37" i="32"/>
  <c r="HZ37" i="32"/>
  <c r="IA37" i="32"/>
  <c r="IB37" i="32"/>
  <c r="IC37" i="32"/>
  <c r="ID37" i="32"/>
  <c r="IE37" i="32"/>
  <c r="IF37" i="32"/>
  <c r="IG37" i="32"/>
  <c r="IH37" i="32"/>
  <c r="II37" i="32"/>
  <c r="IJ37" i="32"/>
  <c r="IK37" i="32"/>
  <c r="IL37" i="32"/>
  <c r="IM37" i="32"/>
  <c r="IN37" i="32"/>
  <c r="IO37" i="32"/>
  <c r="IP37" i="32"/>
  <c r="IQ37" i="32"/>
  <c r="IR37" i="32"/>
  <c r="IS37" i="32"/>
  <c r="IT37" i="32"/>
  <c r="IU37" i="32"/>
  <c r="IV37" i="32"/>
  <c r="A36" i="32"/>
  <c r="B36" i="32"/>
  <c r="C36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AN36" i="32"/>
  <c r="AO36" i="32"/>
  <c r="AP36" i="32"/>
  <c r="AQ36" i="32"/>
  <c r="AR36" i="32"/>
  <c r="AS36" i="32"/>
  <c r="AT36" i="32"/>
  <c r="AU36" i="32"/>
  <c r="AV36" i="32"/>
  <c r="AW36" i="32"/>
  <c r="AX36" i="32"/>
  <c r="AY36" i="32"/>
  <c r="AZ36" i="32"/>
  <c r="BA36" i="32"/>
  <c r="BB36" i="32"/>
  <c r="BC36" i="32"/>
  <c r="BD36" i="32"/>
  <c r="BE36" i="32"/>
  <c r="BF36" i="32"/>
  <c r="BG36" i="32"/>
  <c r="BH36" i="32"/>
  <c r="BI36" i="32"/>
  <c r="BJ36" i="32"/>
  <c r="BK36" i="32"/>
  <c r="BL36" i="32"/>
  <c r="BM36" i="32"/>
  <c r="BN36" i="32"/>
  <c r="BO36" i="32"/>
  <c r="BP36" i="32"/>
  <c r="BQ36" i="32"/>
  <c r="BR36" i="32"/>
  <c r="BS36" i="32"/>
  <c r="BT36" i="32"/>
  <c r="BU36" i="32"/>
  <c r="BV36" i="32"/>
  <c r="BW36" i="32"/>
  <c r="BX36" i="32"/>
  <c r="BY36" i="32"/>
  <c r="BZ36" i="32"/>
  <c r="CA36" i="32"/>
  <c r="CB36" i="32"/>
  <c r="CC36" i="32"/>
  <c r="CD36" i="32"/>
  <c r="CE36" i="32"/>
  <c r="CF36" i="32"/>
  <c r="CG36" i="32"/>
  <c r="CH36" i="32"/>
  <c r="CI36" i="32"/>
  <c r="CJ36" i="32"/>
  <c r="CK36" i="32"/>
  <c r="CL36" i="32"/>
  <c r="CM36" i="32"/>
  <c r="CN36" i="32"/>
  <c r="CO36" i="32"/>
  <c r="CP36" i="32"/>
  <c r="CQ36" i="32"/>
  <c r="CR36" i="32"/>
  <c r="CS36" i="32"/>
  <c r="CT36" i="32"/>
  <c r="CU36" i="32"/>
  <c r="CV36" i="32"/>
  <c r="CW36" i="32"/>
  <c r="CX36" i="32"/>
  <c r="CY36" i="32"/>
  <c r="CZ36" i="32"/>
  <c r="DA36" i="32"/>
  <c r="DB36" i="32"/>
  <c r="DC36" i="32"/>
  <c r="DD36" i="32"/>
  <c r="DE36" i="32"/>
  <c r="DF36" i="32"/>
  <c r="DG36" i="32"/>
  <c r="DH36" i="32"/>
  <c r="DI36" i="32"/>
  <c r="DJ36" i="32"/>
  <c r="DK36" i="32"/>
  <c r="DL36" i="32"/>
  <c r="DM36" i="32"/>
  <c r="DN36" i="32"/>
  <c r="DO36" i="32"/>
  <c r="DP36" i="32"/>
  <c r="DQ36" i="32"/>
  <c r="DR36" i="32"/>
  <c r="DS36" i="32"/>
  <c r="DT36" i="32"/>
  <c r="DU36" i="32"/>
  <c r="DV36" i="32"/>
  <c r="DW36" i="32"/>
  <c r="DX36" i="32"/>
  <c r="DY36" i="32"/>
  <c r="DZ36" i="32"/>
  <c r="EA36" i="32"/>
  <c r="EB36" i="32"/>
  <c r="EC36" i="32"/>
  <c r="ED36" i="32"/>
  <c r="EE36" i="32"/>
  <c r="EF36" i="32"/>
  <c r="EG36" i="32"/>
  <c r="EH36" i="32"/>
  <c r="EI36" i="32"/>
  <c r="EJ36" i="32"/>
  <c r="EK36" i="32"/>
  <c r="EL36" i="32"/>
  <c r="EM36" i="32"/>
  <c r="EN36" i="32"/>
  <c r="EO36" i="32"/>
  <c r="EP36" i="32"/>
  <c r="EQ36" i="32"/>
  <c r="ER36" i="32"/>
  <c r="ES36" i="32"/>
  <c r="ET36" i="32"/>
  <c r="EU36" i="32"/>
  <c r="EV36" i="32"/>
  <c r="EW36" i="32"/>
  <c r="EX36" i="32"/>
  <c r="EY36" i="32"/>
  <c r="EZ36" i="32"/>
  <c r="FA36" i="32"/>
  <c r="FB36" i="32"/>
  <c r="FC36" i="32"/>
  <c r="FD36" i="32"/>
  <c r="FE36" i="32"/>
  <c r="FF36" i="32"/>
  <c r="FG36" i="32"/>
  <c r="FH36" i="32"/>
  <c r="FI36" i="32"/>
  <c r="FJ36" i="32"/>
  <c r="FK36" i="32"/>
  <c r="FL36" i="32"/>
  <c r="FM36" i="32"/>
  <c r="FN36" i="32"/>
  <c r="FO36" i="32"/>
  <c r="FP36" i="32"/>
  <c r="FQ36" i="32"/>
  <c r="FR36" i="32"/>
  <c r="FS36" i="32"/>
  <c r="FT36" i="32"/>
  <c r="FU36" i="32"/>
  <c r="FV36" i="32"/>
  <c r="FW36" i="32"/>
  <c r="FX36" i="32"/>
  <c r="FY36" i="32"/>
  <c r="FZ36" i="32"/>
  <c r="GA36" i="32"/>
  <c r="GB36" i="32"/>
  <c r="GC36" i="32"/>
  <c r="GD36" i="32"/>
  <c r="GE36" i="32"/>
  <c r="GF36" i="32"/>
  <c r="GG36" i="32"/>
  <c r="GH36" i="32"/>
  <c r="GI36" i="32"/>
  <c r="GJ36" i="32"/>
  <c r="GK36" i="32"/>
  <c r="GL36" i="32"/>
  <c r="GM36" i="32"/>
  <c r="GN36" i="32"/>
  <c r="GO36" i="32"/>
  <c r="GP36" i="32"/>
  <c r="GQ36" i="32"/>
  <c r="GR36" i="32"/>
  <c r="GS36" i="32"/>
  <c r="GT36" i="32"/>
  <c r="GU36" i="32"/>
  <c r="GV36" i="32"/>
  <c r="GW36" i="32"/>
  <c r="GX36" i="32"/>
  <c r="GY36" i="32"/>
  <c r="GZ36" i="32"/>
  <c r="HA36" i="32"/>
  <c r="HB36" i="32"/>
  <c r="HC36" i="32"/>
  <c r="HD36" i="32"/>
  <c r="HE36" i="32"/>
  <c r="HF36" i="32"/>
  <c r="HG36" i="32"/>
  <c r="HH36" i="32"/>
  <c r="HI36" i="32"/>
  <c r="HJ36" i="32"/>
  <c r="HK36" i="32"/>
  <c r="HL36" i="32"/>
  <c r="HM36" i="32"/>
  <c r="HN36" i="32"/>
  <c r="HO36" i="32"/>
  <c r="HP36" i="32"/>
  <c r="HQ36" i="32"/>
  <c r="HR36" i="32"/>
  <c r="HS36" i="32"/>
  <c r="HT36" i="32"/>
  <c r="HU36" i="32"/>
  <c r="HV36" i="32"/>
  <c r="HW36" i="32"/>
  <c r="HX36" i="32"/>
  <c r="HY36" i="32"/>
  <c r="HZ36" i="32"/>
  <c r="IA36" i="32"/>
  <c r="IB36" i="32"/>
  <c r="IC36" i="32"/>
  <c r="ID36" i="32"/>
  <c r="IE36" i="32"/>
  <c r="IF36" i="32"/>
  <c r="IG36" i="32"/>
  <c r="IH36" i="32"/>
  <c r="II36" i="32"/>
  <c r="IJ36" i="32"/>
  <c r="IK36" i="32"/>
  <c r="IL36" i="32"/>
  <c r="IM36" i="32"/>
  <c r="IN36" i="32"/>
  <c r="IO36" i="32"/>
  <c r="IP36" i="32"/>
  <c r="IQ36" i="32"/>
  <c r="IR36" i="32"/>
  <c r="IS36" i="32"/>
  <c r="IT36" i="32"/>
  <c r="IU36" i="32"/>
  <c r="IV36" i="32"/>
  <c r="A35" i="32"/>
  <c r="B35" i="32"/>
  <c r="C35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P35" i="32"/>
  <c r="Q35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AO35" i="32"/>
  <c r="AP35" i="32"/>
  <c r="AQ35" i="32"/>
  <c r="AR35" i="32"/>
  <c r="AS35" i="32"/>
  <c r="AT35" i="32"/>
  <c r="AU35" i="32"/>
  <c r="AV35" i="32"/>
  <c r="AW35" i="32"/>
  <c r="AX35" i="32"/>
  <c r="AY35" i="32"/>
  <c r="AZ35" i="32"/>
  <c r="BA35" i="32"/>
  <c r="BB35" i="32"/>
  <c r="BC35" i="32"/>
  <c r="BD35" i="32"/>
  <c r="BE35" i="32"/>
  <c r="BF35" i="32"/>
  <c r="BG35" i="32"/>
  <c r="BH35" i="32"/>
  <c r="BI35" i="32"/>
  <c r="BJ35" i="32"/>
  <c r="BK35" i="32"/>
  <c r="BL35" i="32"/>
  <c r="BM35" i="32"/>
  <c r="BN35" i="32"/>
  <c r="BO35" i="32"/>
  <c r="BP35" i="32"/>
  <c r="BQ35" i="32"/>
  <c r="BR35" i="32"/>
  <c r="BS35" i="32"/>
  <c r="BT35" i="32"/>
  <c r="BU35" i="32"/>
  <c r="BV35" i="32"/>
  <c r="BW35" i="32"/>
  <c r="BX35" i="32"/>
  <c r="BY35" i="32"/>
  <c r="BZ35" i="32"/>
  <c r="CA35" i="32"/>
  <c r="CB35" i="32"/>
  <c r="CC35" i="32"/>
  <c r="CD35" i="32"/>
  <c r="CE35" i="32"/>
  <c r="CF35" i="32"/>
  <c r="CG35" i="32"/>
  <c r="CH35" i="32"/>
  <c r="CI35" i="32"/>
  <c r="CJ35" i="32"/>
  <c r="CK35" i="32"/>
  <c r="CL35" i="32"/>
  <c r="CM35" i="32"/>
  <c r="CN35" i="32"/>
  <c r="CO35" i="32"/>
  <c r="CP35" i="32"/>
  <c r="CQ35" i="32"/>
  <c r="CR35" i="32"/>
  <c r="CS35" i="32"/>
  <c r="CT35" i="32"/>
  <c r="CU35" i="32"/>
  <c r="CV35" i="32"/>
  <c r="CW35" i="32"/>
  <c r="CX35" i="32"/>
  <c r="CY35" i="32"/>
  <c r="CZ35" i="32"/>
  <c r="DA35" i="32"/>
  <c r="DB35" i="32"/>
  <c r="DC35" i="32"/>
  <c r="DD35" i="32"/>
  <c r="DE35" i="32"/>
  <c r="DF35" i="32"/>
  <c r="DG35" i="32"/>
  <c r="DH35" i="32"/>
  <c r="DI35" i="32"/>
  <c r="DJ35" i="32"/>
  <c r="DK35" i="32"/>
  <c r="DL35" i="32"/>
  <c r="DM35" i="32"/>
  <c r="DN35" i="32"/>
  <c r="DO35" i="32"/>
  <c r="DP35" i="32"/>
  <c r="DQ35" i="32"/>
  <c r="DR35" i="32"/>
  <c r="DS35" i="32"/>
  <c r="DT35" i="32"/>
  <c r="DU35" i="32"/>
  <c r="DV35" i="32"/>
  <c r="DW35" i="32"/>
  <c r="DX35" i="32"/>
  <c r="DY35" i="32"/>
  <c r="DZ35" i="32"/>
  <c r="EA35" i="32"/>
  <c r="EB35" i="32"/>
  <c r="EC35" i="32"/>
  <c r="ED35" i="32"/>
  <c r="EE35" i="32"/>
  <c r="EF35" i="32"/>
  <c r="EG35" i="32"/>
  <c r="EH35" i="32"/>
  <c r="EI35" i="32"/>
  <c r="EJ35" i="32"/>
  <c r="EK35" i="32"/>
  <c r="EL35" i="32"/>
  <c r="EM35" i="32"/>
  <c r="EN35" i="32"/>
  <c r="EO35" i="32"/>
  <c r="EP35" i="32"/>
  <c r="EQ35" i="32"/>
  <c r="ER35" i="32"/>
  <c r="ES35" i="32"/>
  <c r="ET35" i="32"/>
  <c r="EU35" i="32"/>
  <c r="EV35" i="32"/>
  <c r="EW35" i="32"/>
  <c r="EX35" i="32"/>
  <c r="EY35" i="32"/>
  <c r="EZ35" i="32"/>
  <c r="FA35" i="32"/>
  <c r="FB35" i="32"/>
  <c r="FC35" i="32"/>
  <c r="FD35" i="32"/>
  <c r="FE35" i="32"/>
  <c r="FF35" i="32"/>
  <c r="FG35" i="32"/>
  <c r="FH35" i="32"/>
  <c r="FI35" i="32"/>
  <c r="FJ35" i="32"/>
  <c r="FK35" i="32"/>
  <c r="FL35" i="32"/>
  <c r="FM35" i="32"/>
  <c r="FN35" i="32"/>
  <c r="FO35" i="32"/>
  <c r="FP35" i="32"/>
  <c r="FQ35" i="32"/>
  <c r="FR35" i="32"/>
  <c r="FS35" i="32"/>
  <c r="FT35" i="32"/>
  <c r="FU35" i="32"/>
  <c r="FV35" i="32"/>
  <c r="FW35" i="32"/>
  <c r="FX35" i="32"/>
  <c r="FY35" i="32"/>
  <c r="FZ35" i="32"/>
  <c r="GA35" i="32"/>
  <c r="GB35" i="32"/>
  <c r="GC35" i="32"/>
  <c r="GD35" i="32"/>
  <c r="GE35" i="32"/>
  <c r="GF35" i="32"/>
  <c r="GG35" i="32"/>
  <c r="GH35" i="32"/>
  <c r="GI35" i="32"/>
  <c r="GJ35" i="32"/>
  <c r="GK35" i="32"/>
  <c r="GL35" i="32"/>
  <c r="GM35" i="32"/>
  <c r="GN35" i="32"/>
  <c r="GO35" i="32"/>
  <c r="GP35" i="32"/>
  <c r="GQ35" i="32"/>
  <c r="GR35" i="32"/>
  <c r="GS35" i="32"/>
  <c r="GT35" i="32"/>
  <c r="GU35" i="32"/>
  <c r="GV35" i="32"/>
  <c r="GW35" i="32"/>
  <c r="GX35" i="32"/>
  <c r="GY35" i="32"/>
  <c r="GZ35" i="32"/>
  <c r="HA35" i="32"/>
  <c r="HB35" i="32"/>
  <c r="HC35" i="32"/>
  <c r="HD35" i="32"/>
  <c r="HE35" i="32"/>
  <c r="HF35" i="32"/>
  <c r="HG35" i="32"/>
  <c r="HH35" i="32"/>
  <c r="HI35" i="32"/>
  <c r="HJ35" i="32"/>
  <c r="HK35" i="32"/>
  <c r="HL35" i="32"/>
  <c r="HM35" i="32"/>
  <c r="HN35" i="32"/>
  <c r="HO35" i="32"/>
  <c r="HP35" i="32"/>
  <c r="HQ35" i="32"/>
  <c r="HR35" i="32"/>
  <c r="HS35" i="32"/>
  <c r="HT35" i="32"/>
  <c r="HU35" i="32"/>
  <c r="HV35" i="32"/>
  <c r="HW35" i="32"/>
  <c r="HX35" i="32"/>
  <c r="HY35" i="32"/>
  <c r="HZ35" i="32"/>
  <c r="IA35" i="32"/>
  <c r="IB35" i="32"/>
  <c r="IC35" i="32"/>
  <c r="ID35" i="32"/>
  <c r="IE35" i="32"/>
  <c r="IF35" i="32"/>
  <c r="IG35" i="32"/>
  <c r="IH35" i="32"/>
  <c r="II35" i="32"/>
  <c r="IJ35" i="32"/>
  <c r="IK35" i="32"/>
  <c r="IL35" i="32"/>
  <c r="IM35" i="32"/>
  <c r="IN35" i="32"/>
  <c r="IO35" i="32"/>
  <c r="IP35" i="32"/>
  <c r="IQ35" i="32"/>
  <c r="IR35" i="32"/>
  <c r="IS35" i="32"/>
  <c r="IT35" i="32"/>
  <c r="IU35" i="32"/>
  <c r="IV35" i="32"/>
  <c r="A34" i="32"/>
  <c r="B34" i="32"/>
  <c r="C34" i="32"/>
  <c r="D34" i="32"/>
  <c r="E34" i="32"/>
  <c r="F34" i="32"/>
  <c r="G34" i="32"/>
  <c r="H34" i="32"/>
  <c r="I34" i="32"/>
  <c r="J34" i="32"/>
  <c r="K34" i="32"/>
  <c r="L34" i="32"/>
  <c r="M34" i="32"/>
  <c r="N34" i="32"/>
  <c r="O34" i="32"/>
  <c r="P34" i="32"/>
  <c r="Q34" i="32"/>
  <c r="R34" i="32"/>
  <c r="S34" i="32"/>
  <c r="T34" i="32"/>
  <c r="U34" i="32"/>
  <c r="V34" i="32"/>
  <c r="W34" i="32"/>
  <c r="X34" i="32"/>
  <c r="Y34" i="32"/>
  <c r="Z34" i="32"/>
  <c r="AA34" i="32"/>
  <c r="AB34" i="32"/>
  <c r="AC34" i="32"/>
  <c r="AD34" i="32"/>
  <c r="AE34" i="32"/>
  <c r="AF34" i="32"/>
  <c r="AG34" i="32"/>
  <c r="AH34" i="32"/>
  <c r="AI34" i="32"/>
  <c r="AJ34" i="32"/>
  <c r="AK34" i="32"/>
  <c r="AL34" i="32"/>
  <c r="AM34" i="32"/>
  <c r="AN34" i="32"/>
  <c r="AO34" i="32"/>
  <c r="AP34" i="32"/>
  <c r="AQ34" i="32"/>
  <c r="AR34" i="32"/>
  <c r="AS34" i="32"/>
  <c r="AT34" i="32"/>
  <c r="AU34" i="32"/>
  <c r="AV34" i="32"/>
  <c r="AW34" i="32"/>
  <c r="AX34" i="32"/>
  <c r="AY34" i="32"/>
  <c r="AZ34" i="32"/>
  <c r="BA34" i="32"/>
  <c r="BB34" i="32"/>
  <c r="BC34" i="32"/>
  <c r="BD34" i="32"/>
  <c r="BE34" i="32"/>
  <c r="BF34" i="32"/>
  <c r="BG34" i="32"/>
  <c r="BH34" i="32"/>
  <c r="BI34" i="32"/>
  <c r="BJ34" i="32"/>
  <c r="BK34" i="32"/>
  <c r="BL34" i="32"/>
  <c r="BM34" i="32"/>
  <c r="BN34" i="32"/>
  <c r="BO34" i="32"/>
  <c r="BP34" i="32"/>
  <c r="BQ34" i="32"/>
  <c r="BR34" i="32"/>
  <c r="BS34" i="32"/>
  <c r="BT34" i="32"/>
  <c r="BU34" i="32"/>
  <c r="BV34" i="32"/>
  <c r="BW34" i="32"/>
  <c r="BX34" i="32"/>
  <c r="BY34" i="32"/>
  <c r="BZ34" i="32"/>
  <c r="CA34" i="32"/>
  <c r="CB34" i="32"/>
  <c r="CC34" i="32"/>
  <c r="CD34" i="32"/>
  <c r="CE34" i="32"/>
  <c r="CF34" i="32"/>
  <c r="CG34" i="32"/>
  <c r="CH34" i="32"/>
  <c r="CI34" i="32"/>
  <c r="CJ34" i="32"/>
  <c r="CK34" i="32"/>
  <c r="CL34" i="32"/>
  <c r="CM34" i="32"/>
  <c r="CN34" i="32"/>
  <c r="CO34" i="32"/>
  <c r="CP34" i="32"/>
  <c r="CQ34" i="32"/>
  <c r="CR34" i="32"/>
  <c r="CS34" i="32"/>
  <c r="CT34" i="32"/>
  <c r="CU34" i="32"/>
  <c r="CV34" i="32"/>
  <c r="CW34" i="32"/>
  <c r="CX34" i="32"/>
  <c r="CY34" i="32"/>
  <c r="CZ34" i="32"/>
  <c r="DA34" i="32"/>
  <c r="DB34" i="32"/>
  <c r="DC34" i="32"/>
  <c r="DD34" i="32"/>
  <c r="DE34" i="32"/>
  <c r="DF34" i="32"/>
  <c r="DG34" i="32"/>
  <c r="DH34" i="32"/>
  <c r="DI34" i="32"/>
  <c r="DJ34" i="32"/>
  <c r="DK34" i="32"/>
  <c r="DL34" i="32"/>
  <c r="DM34" i="32"/>
  <c r="DN34" i="32"/>
  <c r="DO34" i="32"/>
  <c r="DP34" i="32"/>
  <c r="DQ34" i="32"/>
  <c r="DR34" i="32"/>
  <c r="DS34" i="32"/>
  <c r="DT34" i="32"/>
  <c r="DU34" i="32"/>
  <c r="DV34" i="32"/>
  <c r="DW34" i="32"/>
  <c r="DX34" i="32"/>
  <c r="DY34" i="32"/>
  <c r="DZ34" i="32"/>
  <c r="EA34" i="32"/>
  <c r="EB34" i="32"/>
  <c r="EC34" i="32"/>
  <c r="ED34" i="32"/>
  <c r="EE34" i="32"/>
  <c r="EF34" i="32"/>
  <c r="EG34" i="32"/>
  <c r="EH34" i="32"/>
  <c r="EI34" i="32"/>
  <c r="EJ34" i="32"/>
  <c r="EK34" i="32"/>
  <c r="EL34" i="32"/>
  <c r="EM34" i="32"/>
  <c r="EN34" i="32"/>
  <c r="EO34" i="32"/>
  <c r="EP34" i="32"/>
  <c r="EQ34" i="32"/>
  <c r="ER34" i="32"/>
  <c r="ES34" i="32"/>
  <c r="ET34" i="32"/>
  <c r="EU34" i="32"/>
  <c r="EV34" i="32"/>
  <c r="EW34" i="32"/>
  <c r="EX34" i="32"/>
  <c r="EY34" i="32"/>
  <c r="EZ34" i="32"/>
  <c r="FA34" i="32"/>
  <c r="FB34" i="32"/>
  <c r="FC34" i="32"/>
  <c r="FD34" i="32"/>
  <c r="FE34" i="32"/>
  <c r="FF34" i="32"/>
  <c r="FG34" i="32"/>
  <c r="FH34" i="32"/>
  <c r="FI34" i="32"/>
  <c r="FJ34" i="32"/>
  <c r="FK34" i="32"/>
  <c r="FL34" i="32"/>
  <c r="FM34" i="32"/>
  <c r="FN34" i="32"/>
  <c r="FO34" i="32"/>
  <c r="FP34" i="32"/>
  <c r="FQ34" i="32"/>
  <c r="FR34" i="32"/>
  <c r="FS34" i="32"/>
  <c r="FT34" i="32"/>
  <c r="FU34" i="32"/>
  <c r="FV34" i="32"/>
  <c r="FW34" i="32"/>
  <c r="FX34" i="32"/>
  <c r="FY34" i="32"/>
  <c r="FZ34" i="32"/>
  <c r="GA34" i="32"/>
  <c r="GB34" i="32"/>
  <c r="GC34" i="32"/>
  <c r="GD34" i="32"/>
  <c r="GE34" i="32"/>
  <c r="GF34" i="32"/>
  <c r="GG34" i="32"/>
  <c r="GH34" i="32"/>
  <c r="GI34" i="32"/>
  <c r="GJ34" i="32"/>
  <c r="GK34" i="32"/>
  <c r="GL34" i="32"/>
  <c r="GM34" i="32"/>
  <c r="GN34" i="32"/>
  <c r="GO34" i="32"/>
  <c r="GP34" i="32"/>
  <c r="GQ34" i="32"/>
  <c r="GR34" i="32"/>
  <c r="GS34" i="32"/>
  <c r="GT34" i="32"/>
  <c r="GU34" i="32"/>
  <c r="GV34" i="32"/>
  <c r="GW34" i="32"/>
  <c r="GX34" i="32"/>
  <c r="GY34" i="32"/>
  <c r="GZ34" i="32"/>
  <c r="HA34" i="32"/>
  <c r="HB34" i="32"/>
  <c r="HC34" i="32"/>
  <c r="HD34" i="32"/>
  <c r="HE34" i="32"/>
  <c r="HF34" i="32"/>
  <c r="HG34" i="32"/>
  <c r="HH34" i="32"/>
  <c r="HI34" i="32"/>
  <c r="HJ34" i="32"/>
  <c r="HK34" i="32"/>
  <c r="HL34" i="32"/>
  <c r="HM34" i="32"/>
  <c r="HN34" i="32"/>
  <c r="HO34" i="32"/>
  <c r="HP34" i="32"/>
  <c r="HQ34" i="32"/>
  <c r="HR34" i="32"/>
  <c r="HS34" i="32"/>
  <c r="HT34" i="32"/>
  <c r="HU34" i="32"/>
  <c r="HV34" i="32"/>
  <c r="HW34" i="32"/>
  <c r="HX34" i="32"/>
  <c r="HY34" i="32"/>
  <c r="HZ34" i="32"/>
  <c r="IA34" i="32"/>
  <c r="IB34" i="32"/>
  <c r="IC34" i="32"/>
  <c r="ID34" i="32"/>
  <c r="IE34" i="32"/>
  <c r="IF34" i="32"/>
  <c r="IG34" i="32"/>
  <c r="IH34" i="32"/>
  <c r="II34" i="32"/>
  <c r="IJ34" i="32"/>
  <c r="IK34" i="32"/>
  <c r="IL34" i="32"/>
  <c r="IM34" i="32"/>
  <c r="IN34" i="32"/>
  <c r="IO34" i="32"/>
  <c r="IP34" i="32"/>
  <c r="IQ34" i="32"/>
  <c r="IR34" i="32"/>
  <c r="IS34" i="32"/>
  <c r="IT34" i="32"/>
  <c r="IU34" i="32"/>
  <c r="IV34" i="32"/>
  <c r="A33" i="32"/>
  <c r="B33" i="32"/>
  <c r="C33" i="32"/>
  <c r="D33" i="32"/>
  <c r="E33" i="32"/>
  <c r="F33" i="32"/>
  <c r="G33" i="32"/>
  <c r="H33" i="32"/>
  <c r="I33" i="32"/>
  <c r="J33" i="32"/>
  <c r="K33" i="32"/>
  <c r="L33" i="32"/>
  <c r="M33" i="32"/>
  <c r="N33" i="32"/>
  <c r="O33" i="32"/>
  <c r="P33" i="32"/>
  <c r="Q33" i="32"/>
  <c r="R33" i="32"/>
  <c r="S33" i="32"/>
  <c r="T33" i="32"/>
  <c r="U33" i="32"/>
  <c r="V33" i="32"/>
  <c r="W33" i="32"/>
  <c r="X33" i="32"/>
  <c r="Y33" i="32"/>
  <c r="Z33" i="32"/>
  <c r="AA33" i="32"/>
  <c r="AB33" i="32"/>
  <c r="AC33" i="32"/>
  <c r="AD33" i="32"/>
  <c r="AE33" i="32"/>
  <c r="AF33" i="32"/>
  <c r="AG33" i="32"/>
  <c r="AH33" i="32"/>
  <c r="AI33" i="32"/>
  <c r="AJ33" i="32"/>
  <c r="AK33" i="32"/>
  <c r="AL33" i="32"/>
  <c r="AM33" i="32"/>
  <c r="AN33" i="32"/>
  <c r="AO33" i="32"/>
  <c r="AP33" i="32"/>
  <c r="AQ33" i="32"/>
  <c r="AR33" i="32"/>
  <c r="AS33" i="32"/>
  <c r="AT33" i="32"/>
  <c r="AU33" i="32"/>
  <c r="AV33" i="32"/>
  <c r="AW33" i="32"/>
  <c r="AX33" i="32"/>
  <c r="AY33" i="32"/>
  <c r="AZ33" i="32"/>
  <c r="BA33" i="32"/>
  <c r="BB33" i="32"/>
  <c r="BC33" i="32"/>
  <c r="BD33" i="32"/>
  <c r="BE33" i="32"/>
  <c r="BF33" i="32"/>
  <c r="BG33" i="32"/>
  <c r="BH33" i="32"/>
  <c r="BI33" i="32"/>
  <c r="BJ33" i="32"/>
  <c r="BK33" i="32"/>
  <c r="BL33" i="32"/>
  <c r="BM33" i="32"/>
  <c r="BN33" i="32"/>
  <c r="BO33" i="32"/>
  <c r="BP33" i="32"/>
  <c r="BQ33" i="32"/>
  <c r="BR33" i="32"/>
  <c r="BS33" i="32"/>
  <c r="BT33" i="32"/>
  <c r="BU33" i="32"/>
  <c r="BV33" i="32"/>
  <c r="BW33" i="32"/>
  <c r="BX33" i="32"/>
  <c r="BY33" i="32"/>
  <c r="BZ33" i="32"/>
  <c r="CA33" i="32"/>
  <c r="CB33" i="32"/>
  <c r="CC33" i="32"/>
  <c r="CD33" i="32"/>
  <c r="CE33" i="32"/>
  <c r="CF33" i="32"/>
  <c r="CG33" i="32"/>
  <c r="CH33" i="32"/>
  <c r="CI33" i="32"/>
  <c r="CJ33" i="32"/>
  <c r="CK33" i="32"/>
  <c r="CL33" i="32"/>
  <c r="CM33" i="32"/>
  <c r="CN33" i="32"/>
  <c r="CO33" i="32"/>
  <c r="CP33" i="32"/>
  <c r="CQ33" i="32"/>
  <c r="CR33" i="32"/>
  <c r="CS33" i="32"/>
  <c r="CT33" i="32"/>
  <c r="CU33" i="32"/>
  <c r="CV33" i="32"/>
  <c r="CW33" i="32"/>
  <c r="CX33" i="32"/>
  <c r="CY33" i="32"/>
  <c r="CZ33" i="32"/>
  <c r="DA33" i="32"/>
  <c r="DB33" i="32"/>
  <c r="DC33" i="32"/>
  <c r="DD33" i="32"/>
  <c r="DE33" i="32"/>
  <c r="DF33" i="32"/>
  <c r="DG33" i="32"/>
  <c r="DH33" i="32"/>
  <c r="DI33" i="32"/>
  <c r="DJ33" i="32"/>
  <c r="DK33" i="32"/>
  <c r="DL33" i="32"/>
  <c r="DM33" i="32"/>
  <c r="DN33" i="32"/>
  <c r="DO33" i="32"/>
  <c r="DP33" i="32"/>
  <c r="DQ33" i="32"/>
  <c r="DR33" i="32"/>
  <c r="DS33" i="32"/>
  <c r="DT33" i="32"/>
  <c r="DU33" i="32"/>
  <c r="DV33" i="32"/>
  <c r="DW33" i="32"/>
  <c r="DX33" i="32"/>
  <c r="DY33" i="32"/>
  <c r="DZ33" i="32"/>
  <c r="EA33" i="32"/>
  <c r="EB33" i="32"/>
  <c r="EC33" i="32"/>
  <c r="ED33" i="32"/>
  <c r="EE33" i="32"/>
  <c r="EF33" i="32"/>
  <c r="EG33" i="32"/>
  <c r="EH33" i="32"/>
  <c r="EI33" i="32"/>
  <c r="EJ33" i="32"/>
  <c r="EK33" i="32"/>
  <c r="EL33" i="32"/>
  <c r="EM33" i="32"/>
  <c r="EN33" i="32"/>
  <c r="EO33" i="32"/>
  <c r="EP33" i="32"/>
  <c r="EQ33" i="32"/>
  <c r="ER33" i="32"/>
  <c r="ES33" i="32"/>
  <c r="ET33" i="32"/>
  <c r="EU33" i="32"/>
  <c r="EV33" i="32"/>
  <c r="EW33" i="32"/>
  <c r="EX33" i="32"/>
  <c r="EY33" i="32"/>
  <c r="EZ33" i="32"/>
  <c r="FA33" i="32"/>
  <c r="FB33" i="32"/>
  <c r="FC33" i="32"/>
  <c r="FD33" i="32"/>
  <c r="FE33" i="32"/>
  <c r="FF33" i="32"/>
  <c r="FG33" i="32"/>
  <c r="FH33" i="32"/>
  <c r="FI33" i="32"/>
  <c r="FJ33" i="32"/>
  <c r="FK33" i="32"/>
  <c r="FL33" i="32"/>
  <c r="FM33" i="32"/>
  <c r="FN33" i="32"/>
  <c r="FO33" i="32"/>
  <c r="FP33" i="32"/>
  <c r="FQ33" i="32"/>
  <c r="FR33" i="32"/>
  <c r="FS33" i="32"/>
  <c r="FT33" i="32"/>
  <c r="FU33" i="32"/>
  <c r="FV33" i="32"/>
  <c r="FW33" i="32"/>
  <c r="FX33" i="32"/>
  <c r="FY33" i="32"/>
  <c r="FZ33" i="32"/>
  <c r="GA33" i="32"/>
  <c r="GB33" i="32"/>
  <c r="GC33" i="32"/>
  <c r="GD33" i="32"/>
  <c r="GE33" i="32"/>
  <c r="GF33" i="32"/>
  <c r="GG33" i="32"/>
  <c r="GH33" i="32"/>
  <c r="GI33" i="32"/>
  <c r="GJ33" i="32"/>
  <c r="GK33" i="32"/>
  <c r="GL33" i="32"/>
  <c r="GM33" i="32"/>
  <c r="GN33" i="32"/>
  <c r="GO33" i="32"/>
  <c r="GP33" i="32"/>
  <c r="GQ33" i="32"/>
  <c r="GR33" i="32"/>
  <c r="GS33" i="32"/>
  <c r="GT33" i="32"/>
  <c r="GU33" i="32"/>
  <c r="GV33" i="32"/>
  <c r="GW33" i="32"/>
  <c r="GX33" i="32"/>
  <c r="GY33" i="32"/>
  <c r="GZ33" i="32"/>
  <c r="HA33" i="32"/>
  <c r="HB33" i="32"/>
  <c r="HC33" i="32"/>
  <c r="HD33" i="32"/>
  <c r="HE33" i="32"/>
  <c r="HF33" i="32"/>
  <c r="HG33" i="32"/>
  <c r="HH33" i="32"/>
  <c r="HI33" i="32"/>
  <c r="HJ33" i="32"/>
  <c r="HK33" i="32"/>
  <c r="HL33" i="32"/>
  <c r="HM33" i="32"/>
  <c r="HN33" i="32"/>
  <c r="HO33" i="32"/>
  <c r="HP33" i="32"/>
  <c r="HQ33" i="32"/>
  <c r="HR33" i="32"/>
  <c r="HS33" i="32"/>
  <c r="HT33" i="32"/>
  <c r="HU33" i="32"/>
  <c r="HV33" i="32"/>
  <c r="HW33" i="32"/>
  <c r="HX33" i="32"/>
  <c r="HY33" i="32"/>
  <c r="HZ33" i="32"/>
  <c r="IA33" i="32"/>
  <c r="IB33" i="32"/>
  <c r="IC33" i="32"/>
  <c r="ID33" i="32"/>
  <c r="IE33" i="32"/>
  <c r="IF33" i="32"/>
  <c r="IG33" i="32"/>
  <c r="IH33" i="32"/>
  <c r="II33" i="32"/>
  <c r="IJ33" i="32"/>
  <c r="IK33" i="32"/>
  <c r="IL33" i="32"/>
  <c r="IM33" i="32"/>
  <c r="IN33" i="32"/>
  <c r="IO33" i="32"/>
  <c r="IP33" i="32"/>
  <c r="IQ33" i="32"/>
  <c r="IR33" i="32"/>
  <c r="IS33" i="32"/>
  <c r="IT33" i="32"/>
  <c r="IU33" i="32"/>
  <c r="IV33" i="32"/>
  <c r="A32" i="32"/>
  <c r="B32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W32" i="32"/>
  <c r="X32" i="32"/>
  <c r="Y32" i="32"/>
  <c r="Z32" i="32"/>
  <c r="AA32" i="32"/>
  <c r="AB32" i="32"/>
  <c r="AC32" i="32"/>
  <c r="AD32" i="32"/>
  <c r="AE32" i="32"/>
  <c r="AF32" i="32"/>
  <c r="AG32" i="32"/>
  <c r="AH32" i="32"/>
  <c r="AI32" i="32"/>
  <c r="AJ32" i="32"/>
  <c r="AK32" i="32"/>
  <c r="AL32" i="32"/>
  <c r="AM32" i="32"/>
  <c r="AN32" i="32"/>
  <c r="AO32" i="32"/>
  <c r="AP32" i="32"/>
  <c r="AQ32" i="32"/>
  <c r="AR32" i="32"/>
  <c r="AS32" i="32"/>
  <c r="AT32" i="32"/>
  <c r="AU32" i="32"/>
  <c r="AV32" i="32"/>
  <c r="AW32" i="32"/>
  <c r="AX32" i="32"/>
  <c r="AY32" i="32"/>
  <c r="AZ32" i="32"/>
  <c r="BA32" i="32"/>
  <c r="BB32" i="32"/>
  <c r="BC32" i="32"/>
  <c r="BD32" i="32"/>
  <c r="BE32" i="32"/>
  <c r="BF32" i="32"/>
  <c r="BG32" i="32"/>
  <c r="BH32" i="32"/>
  <c r="BI32" i="32"/>
  <c r="BJ32" i="32"/>
  <c r="BK32" i="32"/>
  <c r="BL32" i="32"/>
  <c r="BM32" i="32"/>
  <c r="BN32" i="32"/>
  <c r="BO32" i="32"/>
  <c r="BP32" i="32"/>
  <c r="BQ32" i="32"/>
  <c r="BR32" i="32"/>
  <c r="BS32" i="32"/>
  <c r="BT32" i="32"/>
  <c r="BU32" i="32"/>
  <c r="BV32" i="32"/>
  <c r="BW32" i="32"/>
  <c r="BX32" i="32"/>
  <c r="BY32" i="32"/>
  <c r="BZ32" i="32"/>
  <c r="CA32" i="32"/>
  <c r="CB32" i="32"/>
  <c r="CC32" i="32"/>
  <c r="CD32" i="32"/>
  <c r="CE32" i="32"/>
  <c r="CF32" i="32"/>
  <c r="CG32" i="32"/>
  <c r="CH32" i="32"/>
  <c r="CI32" i="32"/>
  <c r="CJ32" i="32"/>
  <c r="CK32" i="32"/>
  <c r="CL32" i="32"/>
  <c r="CM32" i="32"/>
  <c r="CN32" i="32"/>
  <c r="CO32" i="32"/>
  <c r="CP32" i="32"/>
  <c r="CQ32" i="32"/>
  <c r="CR32" i="32"/>
  <c r="CS32" i="32"/>
  <c r="CT32" i="32"/>
  <c r="CU32" i="32"/>
  <c r="CV32" i="32"/>
  <c r="CW32" i="32"/>
  <c r="CX32" i="32"/>
  <c r="CY32" i="32"/>
  <c r="CZ32" i="32"/>
  <c r="DA32" i="32"/>
  <c r="DB32" i="32"/>
  <c r="DC32" i="32"/>
  <c r="DD32" i="32"/>
  <c r="DE32" i="32"/>
  <c r="DF32" i="32"/>
  <c r="DG32" i="32"/>
  <c r="DH32" i="32"/>
  <c r="DI32" i="32"/>
  <c r="DJ32" i="32"/>
  <c r="DK32" i="32"/>
  <c r="DL32" i="32"/>
  <c r="DM32" i="32"/>
  <c r="DN32" i="32"/>
  <c r="DO32" i="32"/>
  <c r="DP32" i="32"/>
  <c r="DQ32" i="32"/>
  <c r="DR32" i="32"/>
  <c r="DS32" i="32"/>
  <c r="DT32" i="32"/>
  <c r="DU32" i="32"/>
  <c r="DV32" i="32"/>
  <c r="DW32" i="32"/>
  <c r="DX32" i="32"/>
  <c r="DY32" i="32"/>
  <c r="DZ32" i="32"/>
  <c r="EA32" i="32"/>
  <c r="EB32" i="32"/>
  <c r="EC32" i="32"/>
  <c r="ED32" i="32"/>
  <c r="EE32" i="32"/>
  <c r="EF32" i="32"/>
  <c r="EG32" i="32"/>
  <c r="EH32" i="32"/>
  <c r="EI32" i="32"/>
  <c r="EJ32" i="32"/>
  <c r="EK32" i="32"/>
  <c r="EL32" i="32"/>
  <c r="EM32" i="32"/>
  <c r="EN32" i="32"/>
  <c r="EO32" i="32"/>
  <c r="EP32" i="32"/>
  <c r="EQ32" i="32"/>
  <c r="ER32" i="32"/>
  <c r="ES32" i="32"/>
  <c r="ET32" i="32"/>
  <c r="EU32" i="32"/>
  <c r="EV32" i="32"/>
  <c r="EW32" i="32"/>
  <c r="EX32" i="32"/>
  <c r="EY32" i="32"/>
  <c r="EZ32" i="32"/>
  <c r="FA32" i="32"/>
  <c r="FB32" i="32"/>
  <c r="FC32" i="32"/>
  <c r="FD32" i="32"/>
  <c r="FE32" i="32"/>
  <c r="FF32" i="32"/>
  <c r="FG32" i="32"/>
  <c r="FH32" i="32"/>
  <c r="FI32" i="32"/>
  <c r="FJ32" i="32"/>
  <c r="FK32" i="32"/>
  <c r="FL32" i="32"/>
  <c r="FM32" i="32"/>
  <c r="FN32" i="32"/>
  <c r="FO32" i="32"/>
  <c r="FP32" i="32"/>
  <c r="FQ32" i="32"/>
  <c r="FR32" i="32"/>
  <c r="FS32" i="32"/>
  <c r="FT32" i="32"/>
  <c r="FU32" i="32"/>
  <c r="FV32" i="32"/>
  <c r="FW32" i="32"/>
  <c r="FX32" i="32"/>
  <c r="FY32" i="32"/>
  <c r="FZ32" i="32"/>
  <c r="GA32" i="32"/>
  <c r="GB32" i="32"/>
  <c r="GC32" i="32"/>
  <c r="GD32" i="32"/>
  <c r="GE32" i="32"/>
  <c r="GF32" i="32"/>
  <c r="GG32" i="32"/>
  <c r="GH32" i="32"/>
  <c r="GI32" i="32"/>
  <c r="GJ32" i="32"/>
  <c r="GK32" i="32"/>
  <c r="GL32" i="32"/>
  <c r="GM32" i="32"/>
  <c r="GN32" i="32"/>
  <c r="GO32" i="32"/>
  <c r="GP32" i="32"/>
  <c r="GQ32" i="32"/>
  <c r="GR32" i="32"/>
  <c r="GS32" i="32"/>
  <c r="GT32" i="32"/>
  <c r="GU32" i="32"/>
  <c r="GV32" i="32"/>
  <c r="GW32" i="32"/>
  <c r="GX32" i="32"/>
  <c r="GY32" i="32"/>
  <c r="GZ32" i="32"/>
  <c r="HA32" i="32"/>
  <c r="HB32" i="32"/>
  <c r="HC32" i="32"/>
  <c r="HD32" i="32"/>
  <c r="HE32" i="32"/>
  <c r="HF32" i="32"/>
  <c r="HG32" i="32"/>
  <c r="HH32" i="32"/>
  <c r="HI32" i="32"/>
  <c r="HJ32" i="32"/>
  <c r="HK32" i="32"/>
  <c r="HL32" i="32"/>
  <c r="HM32" i="32"/>
  <c r="HN32" i="32"/>
  <c r="HO32" i="32"/>
  <c r="HP32" i="32"/>
  <c r="HQ32" i="32"/>
  <c r="HR32" i="32"/>
  <c r="HS32" i="32"/>
  <c r="HT32" i="32"/>
  <c r="HU32" i="32"/>
  <c r="HV32" i="32"/>
  <c r="HW32" i="32"/>
  <c r="HX32" i="32"/>
  <c r="HY32" i="32"/>
  <c r="HZ32" i="32"/>
  <c r="IA32" i="32"/>
  <c r="IB32" i="32"/>
  <c r="IC32" i="32"/>
  <c r="ID32" i="32"/>
  <c r="IE32" i="32"/>
  <c r="IF32" i="32"/>
  <c r="IG32" i="32"/>
  <c r="IH32" i="32"/>
  <c r="II32" i="32"/>
  <c r="IJ32" i="32"/>
  <c r="IK32" i="32"/>
  <c r="IL32" i="32"/>
  <c r="IM32" i="32"/>
  <c r="IN32" i="32"/>
  <c r="IO32" i="32"/>
  <c r="IP32" i="32"/>
  <c r="IQ32" i="32"/>
  <c r="IR32" i="32"/>
  <c r="IS32" i="32"/>
  <c r="IT32" i="32"/>
  <c r="IU32" i="32"/>
  <c r="IV32" i="32"/>
  <c r="A31" i="32"/>
  <c r="B31" i="32"/>
  <c r="C31" i="32"/>
  <c r="D31" i="32"/>
  <c r="E31" i="32"/>
  <c r="F31" i="32"/>
  <c r="G31" i="32"/>
  <c r="H31" i="32"/>
  <c r="I31" i="32"/>
  <c r="J31" i="32"/>
  <c r="K31" i="32"/>
  <c r="L31" i="32"/>
  <c r="M31" i="32"/>
  <c r="N31" i="32"/>
  <c r="O31" i="32"/>
  <c r="P31" i="32"/>
  <c r="Q31" i="32"/>
  <c r="R31" i="32"/>
  <c r="S31" i="32"/>
  <c r="T31" i="32"/>
  <c r="U31" i="32"/>
  <c r="V31" i="32"/>
  <c r="W31" i="32"/>
  <c r="X31" i="32"/>
  <c r="Y31" i="32"/>
  <c r="Z31" i="32"/>
  <c r="AA31" i="32"/>
  <c r="AB31" i="32"/>
  <c r="AC31" i="32"/>
  <c r="AD31" i="32"/>
  <c r="AE31" i="32"/>
  <c r="AF31" i="32"/>
  <c r="AG31" i="32"/>
  <c r="AH31" i="32"/>
  <c r="AI31" i="32"/>
  <c r="AJ31" i="32"/>
  <c r="AK31" i="32"/>
  <c r="AL31" i="32"/>
  <c r="AM31" i="32"/>
  <c r="AN31" i="32"/>
  <c r="AO31" i="32"/>
  <c r="AP31" i="32"/>
  <c r="AQ31" i="32"/>
  <c r="AR31" i="32"/>
  <c r="AS31" i="32"/>
  <c r="AT31" i="32"/>
  <c r="AU31" i="32"/>
  <c r="AV31" i="32"/>
  <c r="AW31" i="32"/>
  <c r="AX31" i="32"/>
  <c r="AY31" i="32"/>
  <c r="AZ31" i="32"/>
  <c r="BA31" i="32"/>
  <c r="BB31" i="32"/>
  <c r="BC31" i="32"/>
  <c r="BD31" i="32"/>
  <c r="BE31" i="32"/>
  <c r="BF31" i="32"/>
  <c r="BG31" i="32"/>
  <c r="BH31" i="32"/>
  <c r="BI31" i="32"/>
  <c r="BJ31" i="32"/>
  <c r="BK31" i="32"/>
  <c r="BL31" i="32"/>
  <c r="BM31" i="32"/>
  <c r="BN31" i="32"/>
  <c r="BO31" i="32"/>
  <c r="BP31" i="32"/>
  <c r="BQ31" i="32"/>
  <c r="BR31" i="32"/>
  <c r="BS31" i="32"/>
  <c r="BT31" i="32"/>
  <c r="BU31" i="32"/>
  <c r="BV31" i="32"/>
  <c r="BW31" i="32"/>
  <c r="BX31" i="32"/>
  <c r="BY31" i="32"/>
  <c r="BZ31" i="32"/>
  <c r="CA31" i="32"/>
  <c r="CB31" i="32"/>
  <c r="CC31" i="32"/>
  <c r="CD31" i="32"/>
  <c r="CE31" i="32"/>
  <c r="CF31" i="32"/>
  <c r="CG31" i="32"/>
  <c r="CH31" i="32"/>
  <c r="CI31" i="32"/>
  <c r="CJ31" i="32"/>
  <c r="CK31" i="32"/>
  <c r="CL31" i="32"/>
  <c r="CM31" i="32"/>
  <c r="CN31" i="32"/>
  <c r="CO31" i="32"/>
  <c r="CP31" i="32"/>
  <c r="CQ31" i="32"/>
  <c r="CR31" i="32"/>
  <c r="CS31" i="32"/>
  <c r="CT31" i="32"/>
  <c r="CU31" i="32"/>
  <c r="CV31" i="32"/>
  <c r="CW31" i="32"/>
  <c r="CX31" i="32"/>
  <c r="CY31" i="32"/>
  <c r="CZ31" i="32"/>
  <c r="DA31" i="32"/>
  <c r="DB31" i="32"/>
  <c r="DC31" i="32"/>
  <c r="DD31" i="32"/>
  <c r="DE31" i="32"/>
  <c r="DF31" i="32"/>
  <c r="DG31" i="32"/>
  <c r="DH31" i="32"/>
  <c r="DI31" i="32"/>
  <c r="DJ31" i="32"/>
  <c r="DK31" i="32"/>
  <c r="DL31" i="32"/>
  <c r="DM31" i="32"/>
  <c r="DN31" i="32"/>
  <c r="DO31" i="32"/>
  <c r="DP31" i="32"/>
  <c r="DQ31" i="32"/>
  <c r="DR31" i="32"/>
  <c r="DS31" i="32"/>
  <c r="DT31" i="32"/>
  <c r="DU31" i="32"/>
  <c r="DV31" i="32"/>
  <c r="DW31" i="32"/>
  <c r="DX31" i="32"/>
  <c r="DY31" i="32"/>
  <c r="DZ31" i="32"/>
  <c r="EA31" i="32"/>
  <c r="EB31" i="32"/>
  <c r="EC31" i="32"/>
  <c r="ED31" i="32"/>
  <c r="EE31" i="32"/>
  <c r="EF31" i="32"/>
  <c r="EG31" i="32"/>
  <c r="EH31" i="32"/>
  <c r="EI31" i="32"/>
  <c r="EJ31" i="32"/>
  <c r="EK31" i="32"/>
  <c r="EL31" i="32"/>
  <c r="EM31" i="32"/>
  <c r="EN31" i="32"/>
  <c r="EO31" i="32"/>
  <c r="EP31" i="32"/>
  <c r="EQ31" i="32"/>
  <c r="ER31" i="32"/>
  <c r="ES31" i="32"/>
  <c r="ET31" i="32"/>
  <c r="EU31" i="32"/>
  <c r="EV31" i="32"/>
  <c r="EW31" i="32"/>
  <c r="EX31" i="32"/>
  <c r="EY31" i="32"/>
  <c r="EZ31" i="32"/>
  <c r="FA31" i="32"/>
  <c r="FB31" i="32"/>
  <c r="FC31" i="32"/>
  <c r="FD31" i="32"/>
  <c r="FE31" i="32"/>
  <c r="FF31" i="32"/>
  <c r="FG31" i="32"/>
  <c r="FH31" i="32"/>
  <c r="FI31" i="32"/>
  <c r="FJ31" i="32"/>
  <c r="FK31" i="32"/>
  <c r="FL31" i="32"/>
  <c r="FM31" i="32"/>
  <c r="FN31" i="32"/>
  <c r="FO31" i="32"/>
  <c r="FP31" i="32"/>
  <c r="FQ31" i="32"/>
  <c r="FR31" i="32"/>
  <c r="FS31" i="32"/>
  <c r="FT31" i="32"/>
  <c r="FU31" i="32"/>
  <c r="FV31" i="32"/>
  <c r="FW31" i="32"/>
  <c r="FX31" i="32"/>
  <c r="FY31" i="32"/>
  <c r="FZ31" i="32"/>
  <c r="GA31" i="32"/>
  <c r="GB31" i="32"/>
  <c r="GC31" i="32"/>
  <c r="GD31" i="32"/>
  <c r="GE31" i="32"/>
  <c r="GF31" i="32"/>
  <c r="GG31" i="32"/>
  <c r="GH31" i="32"/>
  <c r="GI31" i="32"/>
  <c r="GJ31" i="32"/>
  <c r="GK31" i="32"/>
  <c r="GL31" i="32"/>
  <c r="GM31" i="32"/>
  <c r="GN31" i="32"/>
  <c r="GO31" i="32"/>
  <c r="GP31" i="32"/>
  <c r="GQ31" i="32"/>
  <c r="GR31" i="32"/>
  <c r="GS31" i="32"/>
  <c r="GT31" i="32"/>
  <c r="GU31" i="32"/>
  <c r="GV31" i="32"/>
  <c r="GW31" i="32"/>
  <c r="GX31" i="32"/>
  <c r="GY31" i="32"/>
  <c r="GZ31" i="32"/>
  <c r="HA31" i="32"/>
  <c r="HB31" i="32"/>
  <c r="HC31" i="32"/>
  <c r="HD31" i="32"/>
  <c r="HE31" i="32"/>
  <c r="HF31" i="32"/>
  <c r="HG31" i="32"/>
  <c r="HH31" i="32"/>
  <c r="HI31" i="32"/>
  <c r="HJ31" i="32"/>
  <c r="HK31" i="32"/>
  <c r="HL31" i="32"/>
  <c r="HM31" i="32"/>
  <c r="HN31" i="32"/>
  <c r="HO31" i="32"/>
  <c r="HP31" i="32"/>
  <c r="HQ31" i="32"/>
  <c r="HR31" i="32"/>
  <c r="HS31" i="32"/>
  <c r="HT31" i="32"/>
  <c r="HU31" i="32"/>
  <c r="HV31" i="32"/>
  <c r="HW31" i="32"/>
  <c r="HX31" i="32"/>
  <c r="HY31" i="32"/>
  <c r="HZ31" i="32"/>
  <c r="IA31" i="32"/>
  <c r="IB31" i="32"/>
  <c r="IC31" i="32"/>
  <c r="ID31" i="32"/>
  <c r="IE31" i="32"/>
  <c r="IF31" i="32"/>
  <c r="IG31" i="32"/>
  <c r="IH31" i="32"/>
  <c r="II31" i="32"/>
  <c r="IJ31" i="32"/>
  <c r="IK31" i="32"/>
  <c r="IL31" i="32"/>
  <c r="IM31" i="32"/>
  <c r="IN31" i="32"/>
  <c r="IO31" i="32"/>
  <c r="IP31" i="32"/>
  <c r="IQ31" i="32"/>
  <c r="IR31" i="32"/>
  <c r="IS31" i="32"/>
  <c r="IT31" i="32"/>
  <c r="IU31" i="32"/>
  <c r="IV31" i="32"/>
  <c r="A30" i="32"/>
  <c r="B30" i="32"/>
  <c r="C30" i="32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AN30" i="32"/>
  <c r="AO30" i="32"/>
  <c r="AP30" i="32"/>
  <c r="AQ30" i="32"/>
  <c r="AR30" i="32"/>
  <c r="AS30" i="32"/>
  <c r="AT30" i="32"/>
  <c r="AU30" i="32"/>
  <c r="AV30" i="32"/>
  <c r="AW30" i="32"/>
  <c r="AX30" i="32"/>
  <c r="AY30" i="32"/>
  <c r="AZ30" i="32"/>
  <c r="BA30" i="32"/>
  <c r="BB30" i="32"/>
  <c r="BC30" i="32"/>
  <c r="BD30" i="32"/>
  <c r="BE30" i="32"/>
  <c r="BF30" i="32"/>
  <c r="BG30" i="32"/>
  <c r="BH30" i="32"/>
  <c r="BI30" i="32"/>
  <c r="BJ30" i="32"/>
  <c r="BK30" i="32"/>
  <c r="BL30" i="32"/>
  <c r="BM30" i="32"/>
  <c r="BN30" i="32"/>
  <c r="BO30" i="32"/>
  <c r="BP30" i="32"/>
  <c r="BQ30" i="32"/>
  <c r="BR30" i="32"/>
  <c r="BS30" i="32"/>
  <c r="BT30" i="32"/>
  <c r="BU30" i="32"/>
  <c r="BV30" i="32"/>
  <c r="BW30" i="32"/>
  <c r="BX30" i="32"/>
  <c r="BY30" i="32"/>
  <c r="BZ30" i="32"/>
  <c r="CA30" i="32"/>
  <c r="CB30" i="32"/>
  <c r="CC30" i="32"/>
  <c r="CD30" i="32"/>
  <c r="CE30" i="32"/>
  <c r="CF30" i="32"/>
  <c r="CG30" i="32"/>
  <c r="CH30" i="32"/>
  <c r="CI30" i="32"/>
  <c r="CJ30" i="32"/>
  <c r="CK30" i="32"/>
  <c r="CL30" i="32"/>
  <c r="CM30" i="32"/>
  <c r="CN30" i="32"/>
  <c r="CO30" i="32"/>
  <c r="CP30" i="32"/>
  <c r="CQ30" i="32"/>
  <c r="CR30" i="32"/>
  <c r="CS30" i="32"/>
  <c r="CT30" i="32"/>
  <c r="CU30" i="32"/>
  <c r="CV30" i="32"/>
  <c r="CW30" i="32"/>
  <c r="CX30" i="32"/>
  <c r="CY30" i="32"/>
  <c r="CZ30" i="32"/>
  <c r="DA30" i="32"/>
  <c r="DB30" i="32"/>
  <c r="DC30" i="32"/>
  <c r="DD30" i="32"/>
  <c r="DE30" i="32"/>
  <c r="DF30" i="32"/>
  <c r="DG30" i="32"/>
  <c r="DH30" i="32"/>
  <c r="DI30" i="32"/>
  <c r="DJ30" i="32"/>
  <c r="DK30" i="32"/>
  <c r="DL30" i="32"/>
  <c r="DM30" i="32"/>
  <c r="DN30" i="32"/>
  <c r="DO30" i="32"/>
  <c r="DP30" i="32"/>
  <c r="DQ30" i="32"/>
  <c r="DR30" i="32"/>
  <c r="DS30" i="32"/>
  <c r="DT30" i="32"/>
  <c r="DU30" i="32"/>
  <c r="DV30" i="32"/>
  <c r="DW30" i="32"/>
  <c r="DX30" i="32"/>
  <c r="DY30" i="32"/>
  <c r="DZ30" i="32"/>
  <c r="EA30" i="32"/>
  <c r="EB30" i="32"/>
  <c r="EC30" i="32"/>
  <c r="ED30" i="32"/>
  <c r="EE30" i="32"/>
  <c r="EF30" i="32"/>
  <c r="EG30" i="32"/>
  <c r="EH30" i="32"/>
  <c r="EI30" i="32"/>
  <c r="EJ30" i="32"/>
  <c r="EK30" i="32"/>
  <c r="EL30" i="32"/>
  <c r="EM30" i="32"/>
  <c r="EN30" i="32"/>
  <c r="EO30" i="32"/>
  <c r="EP30" i="32"/>
  <c r="EQ30" i="32"/>
  <c r="ER30" i="32"/>
  <c r="ES30" i="32"/>
  <c r="ET30" i="32"/>
  <c r="EU30" i="32"/>
  <c r="EV30" i="32"/>
  <c r="EW30" i="32"/>
  <c r="EX30" i="32"/>
  <c r="EY30" i="32"/>
  <c r="EZ30" i="32"/>
  <c r="FA30" i="32"/>
  <c r="FB30" i="32"/>
  <c r="FC30" i="32"/>
  <c r="FD30" i="32"/>
  <c r="FE30" i="32"/>
  <c r="FF30" i="32"/>
  <c r="FG30" i="32"/>
  <c r="FH30" i="32"/>
  <c r="FI30" i="32"/>
  <c r="FJ30" i="32"/>
  <c r="FK30" i="32"/>
  <c r="FL30" i="32"/>
  <c r="FM30" i="32"/>
  <c r="FN30" i="32"/>
  <c r="FO30" i="32"/>
  <c r="FP30" i="32"/>
  <c r="FQ30" i="32"/>
  <c r="FR30" i="32"/>
  <c r="FS30" i="32"/>
  <c r="FT30" i="32"/>
  <c r="FU30" i="32"/>
  <c r="FV30" i="32"/>
  <c r="FW30" i="32"/>
  <c r="FX30" i="32"/>
  <c r="FY30" i="32"/>
  <c r="FZ30" i="32"/>
  <c r="GA30" i="32"/>
  <c r="GB30" i="32"/>
  <c r="GC30" i="32"/>
  <c r="GD30" i="32"/>
  <c r="GE30" i="32"/>
  <c r="GF30" i="32"/>
  <c r="GG30" i="32"/>
  <c r="GH30" i="32"/>
  <c r="GI30" i="32"/>
  <c r="GJ30" i="32"/>
  <c r="GK30" i="32"/>
  <c r="GL30" i="32"/>
  <c r="GM30" i="32"/>
  <c r="GN30" i="32"/>
  <c r="GO30" i="32"/>
  <c r="GP30" i="32"/>
  <c r="GQ30" i="32"/>
  <c r="GR30" i="32"/>
  <c r="GS30" i="32"/>
  <c r="GT30" i="32"/>
  <c r="GU30" i="32"/>
  <c r="GV30" i="32"/>
  <c r="GW30" i="32"/>
  <c r="GX30" i="32"/>
  <c r="GY30" i="32"/>
  <c r="GZ30" i="32"/>
  <c r="HA30" i="32"/>
  <c r="HB30" i="32"/>
  <c r="HC30" i="32"/>
  <c r="HD30" i="32"/>
  <c r="HE30" i="32"/>
  <c r="HF30" i="32"/>
  <c r="HG30" i="32"/>
  <c r="HH30" i="32"/>
  <c r="HI30" i="32"/>
  <c r="HJ30" i="32"/>
  <c r="HK30" i="32"/>
  <c r="HL30" i="32"/>
  <c r="HM30" i="32"/>
  <c r="HN30" i="32"/>
  <c r="HO30" i="32"/>
  <c r="HP30" i="32"/>
  <c r="HQ30" i="32"/>
  <c r="HR30" i="32"/>
  <c r="HS30" i="32"/>
  <c r="HT30" i="32"/>
  <c r="HU30" i="32"/>
  <c r="HV30" i="32"/>
  <c r="HW30" i="32"/>
  <c r="HX30" i="32"/>
  <c r="HY30" i="32"/>
  <c r="HZ30" i="32"/>
  <c r="IA30" i="32"/>
  <c r="IB30" i="32"/>
  <c r="IC30" i="32"/>
  <c r="ID30" i="32"/>
  <c r="IE30" i="32"/>
  <c r="IF30" i="32"/>
  <c r="IG30" i="32"/>
  <c r="IH30" i="32"/>
  <c r="II30" i="32"/>
  <c r="IJ30" i="32"/>
  <c r="IK30" i="32"/>
  <c r="IL30" i="32"/>
  <c r="IM30" i="32"/>
  <c r="IN30" i="32"/>
  <c r="IO30" i="32"/>
  <c r="IP30" i="32"/>
  <c r="IQ30" i="32"/>
  <c r="IR30" i="32"/>
  <c r="IS30" i="32"/>
  <c r="IT30" i="32"/>
  <c r="IU30" i="32"/>
  <c r="IV30" i="32"/>
  <c r="A29" i="32"/>
  <c r="B29" i="32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AG29" i="32"/>
  <c r="AH29" i="32"/>
  <c r="AI29" i="32"/>
  <c r="AJ29" i="32"/>
  <c r="AK29" i="32"/>
  <c r="AL29" i="32"/>
  <c r="AM29" i="32"/>
  <c r="AN29" i="32"/>
  <c r="AO29" i="32"/>
  <c r="AP29" i="32"/>
  <c r="AQ29" i="32"/>
  <c r="AR29" i="32"/>
  <c r="AS29" i="32"/>
  <c r="AT29" i="32"/>
  <c r="AU29" i="32"/>
  <c r="AV29" i="32"/>
  <c r="AW29" i="32"/>
  <c r="AX29" i="32"/>
  <c r="AY29" i="32"/>
  <c r="AZ29" i="32"/>
  <c r="BA29" i="32"/>
  <c r="BB29" i="32"/>
  <c r="BC29" i="32"/>
  <c r="BD29" i="32"/>
  <c r="BE29" i="32"/>
  <c r="BF29" i="32"/>
  <c r="BG29" i="32"/>
  <c r="BH29" i="32"/>
  <c r="BI29" i="32"/>
  <c r="BJ29" i="32"/>
  <c r="BK29" i="32"/>
  <c r="BL29" i="32"/>
  <c r="BM29" i="32"/>
  <c r="BN29" i="32"/>
  <c r="BO29" i="32"/>
  <c r="BP29" i="32"/>
  <c r="BQ29" i="32"/>
  <c r="BR29" i="32"/>
  <c r="BS29" i="32"/>
  <c r="BT29" i="32"/>
  <c r="BU29" i="32"/>
  <c r="BV29" i="32"/>
  <c r="BW29" i="32"/>
  <c r="BX29" i="32"/>
  <c r="BY29" i="32"/>
  <c r="BZ29" i="32"/>
  <c r="CA29" i="32"/>
  <c r="CB29" i="32"/>
  <c r="CC29" i="32"/>
  <c r="CD29" i="32"/>
  <c r="CE29" i="32"/>
  <c r="CF29" i="32"/>
  <c r="CG29" i="32"/>
  <c r="CH29" i="32"/>
  <c r="CI29" i="32"/>
  <c r="CJ29" i="32"/>
  <c r="CK29" i="32"/>
  <c r="CL29" i="32"/>
  <c r="CM29" i="32"/>
  <c r="CN29" i="32"/>
  <c r="CO29" i="32"/>
  <c r="CP29" i="32"/>
  <c r="CQ29" i="32"/>
  <c r="CR29" i="32"/>
  <c r="CS29" i="32"/>
  <c r="CT29" i="32"/>
  <c r="CU29" i="32"/>
  <c r="CV29" i="32"/>
  <c r="CW29" i="32"/>
  <c r="CX29" i="32"/>
  <c r="CY29" i="32"/>
  <c r="CZ29" i="32"/>
  <c r="DA29" i="32"/>
  <c r="DB29" i="32"/>
  <c r="DC29" i="32"/>
  <c r="DD29" i="32"/>
  <c r="DE29" i="32"/>
  <c r="DF29" i="32"/>
  <c r="DG29" i="32"/>
  <c r="DH29" i="32"/>
  <c r="DI29" i="32"/>
  <c r="DJ29" i="32"/>
  <c r="DK29" i="32"/>
  <c r="DL29" i="32"/>
  <c r="DM29" i="32"/>
  <c r="DN29" i="32"/>
  <c r="DO29" i="32"/>
  <c r="DP29" i="32"/>
  <c r="DQ29" i="32"/>
  <c r="DR29" i="32"/>
  <c r="DS29" i="32"/>
  <c r="DT29" i="32"/>
  <c r="DU29" i="32"/>
  <c r="DV29" i="32"/>
  <c r="DW29" i="32"/>
  <c r="DX29" i="32"/>
  <c r="DY29" i="32"/>
  <c r="DZ29" i="32"/>
  <c r="EA29" i="32"/>
  <c r="EB29" i="32"/>
  <c r="EC29" i="32"/>
  <c r="ED29" i="32"/>
  <c r="EE29" i="32"/>
  <c r="EF29" i="32"/>
  <c r="EG29" i="32"/>
  <c r="EH29" i="32"/>
  <c r="EI29" i="32"/>
  <c r="EJ29" i="32"/>
  <c r="EK29" i="32"/>
  <c r="EL29" i="32"/>
  <c r="EM29" i="32"/>
  <c r="EN29" i="32"/>
  <c r="EO29" i="32"/>
  <c r="EP29" i="32"/>
  <c r="EQ29" i="32"/>
  <c r="ER29" i="32"/>
  <c r="ES29" i="32"/>
  <c r="ET29" i="32"/>
  <c r="EU29" i="32"/>
  <c r="EV29" i="32"/>
  <c r="EW29" i="32"/>
  <c r="EX29" i="32"/>
  <c r="EY29" i="32"/>
  <c r="EZ29" i="32"/>
  <c r="FA29" i="32"/>
  <c r="FB29" i="32"/>
  <c r="FC29" i="32"/>
  <c r="FD29" i="32"/>
  <c r="FE29" i="32"/>
  <c r="FF29" i="32"/>
  <c r="FG29" i="32"/>
  <c r="FH29" i="32"/>
  <c r="FI29" i="32"/>
  <c r="FJ29" i="32"/>
  <c r="FK29" i="32"/>
  <c r="FL29" i="32"/>
  <c r="FM29" i="32"/>
  <c r="FN29" i="32"/>
  <c r="FO29" i="32"/>
  <c r="FP29" i="32"/>
  <c r="FQ29" i="32"/>
  <c r="FR29" i="32"/>
  <c r="FS29" i="32"/>
  <c r="FT29" i="32"/>
  <c r="FU29" i="32"/>
  <c r="FV29" i="32"/>
  <c r="FW29" i="32"/>
  <c r="FX29" i="32"/>
  <c r="FY29" i="32"/>
  <c r="FZ29" i="32"/>
  <c r="GA29" i="32"/>
  <c r="GB29" i="32"/>
  <c r="GC29" i="32"/>
  <c r="GD29" i="32"/>
  <c r="GE29" i="32"/>
  <c r="GF29" i="32"/>
  <c r="GG29" i="32"/>
  <c r="GH29" i="32"/>
  <c r="GI29" i="32"/>
  <c r="GJ29" i="32"/>
  <c r="GK29" i="32"/>
  <c r="GL29" i="32"/>
  <c r="GM29" i="32"/>
  <c r="GN29" i="32"/>
  <c r="GO29" i="32"/>
  <c r="GP29" i="32"/>
  <c r="GQ29" i="32"/>
  <c r="GR29" i="32"/>
  <c r="GS29" i="32"/>
  <c r="GT29" i="32"/>
  <c r="GU29" i="32"/>
  <c r="GV29" i="32"/>
  <c r="GW29" i="32"/>
  <c r="GX29" i="32"/>
  <c r="GY29" i="32"/>
  <c r="GZ29" i="32"/>
  <c r="HA29" i="32"/>
  <c r="HB29" i="32"/>
  <c r="HC29" i="32"/>
  <c r="HD29" i="32"/>
  <c r="HE29" i="32"/>
  <c r="HF29" i="32"/>
  <c r="HG29" i="32"/>
  <c r="HH29" i="32"/>
  <c r="HI29" i="32"/>
  <c r="HJ29" i="32"/>
  <c r="HK29" i="32"/>
  <c r="HL29" i="32"/>
  <c r="HM29" i="32"/>
  <c r="HN29" i="32"/>
  <c r="HO29" i="32"/>
  <c r="HP29" i="32"/>
  <c r="HQ29" i="32"/>
  <c r="HR29" i="32"/>
  <c r="HS29" i="32"/>
  <c r="HT29" i="32"/>
  <c r="HU29" i="32"/>
  <c r="HV29" i="32"/>
  <c r="HW29" i="32"/>
  <c r="HX29" i="32"/>
  <c r="HY29" i="32"/>
  <c r="HZ29" i="32"/>
  <c r="IA29" i="32"/>
  <c r="IB29" i="32"/>
  <c r="IC29" i="32"/>
  <c r="ID29" i="32"/>
  <c r="IE29" i="32"/>
  <c r="IF29" i="32"/>
  <c r="IG29" i="32"/>
  <c r="IH29" i="32"/>
  <c r="II29" i="32"/>
  <c r="IJ29" i="32"/>
  <c r="IK29" i="32"/>
  <c r="IL29" i="32"/>
  <c r="IM29" i="32"/>
  <c r="IN29" i="32"/>
  <c r="IO29" i="32"/>
  <c r="IP29" i="32"/>
  <c r="IQ29" i="32"/>
  <c r="IR29" i="32"/>
  <c r="IS29" i="32"/>
  <c r="IT29" i="32"/>
  <c r="IU29" i="32"/>
  <c r="IV29" i="32"/>
  <c r="A28" i="32"/>
  <c r="B28" i="32"/>
  <c r="C28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N28" i="32"/>
  <c r="AO28" i="32"/>
  <c r="AP28" i="32"/>
  <c r="AQ28" i="32"/>
  <c r="AR28" i="32"/>
  <c r="AS28" i="32"/>
  <c r="AT28" i="32"/>
  <c r="AU28" i="32"/>
  <c r="AV28" i="32"/>
  <c r="AW28" i="32"/>
  <c r="AX28" i="32"/>
  <c r="AY28" i="32"/>
  <c r="AZ28" i="32"/>
  <c r="BA28" i="32"/>
  <c r="BB28" i="32"/>
  <c r="BC28" i="32"/>
  <c r="BD28" i="32"/>
  <c r="BE28" i="32"/>
  <c r="BF28" i="32"/>
  <c r="BG28" i="32"/>
  <c r="BH28" i="32"/>
  <c r="BI28" i="32"/>
  <c r="BJ28" i="32"/>
  <c r="BK28" i="32"/>
  <c r="BL28" i="32"/>
  <c r="BM28" i="32"/>
  <c r="BN28" i="32"/>
  <c r="BO28" i="32"/>
  <c r="BP28" i="32"/>
  <c r="BQ28" i="32"/>
  <c r="BR28" i="32"/>
  <c r="BS28" i="32"/>
  <c r="BT28" i="32"/>
  <c r="BU28" i="32"/>
  <c r="BV28" i="32"/>
  <c r="BW28" i="32"/>
  <c r="BX28" i="32"/>
  <c r="BY28" i="32"/>
  <c r="BZ28" i="32"/>
  <c r="CA28" i="32"/>
  <c r="CB28" i="32"/>
  <c r="CC28" i="32"/>
  <c r="CD28" i="32"/>
  <c r="CE28" i="32"/>
  <c r="CF28" i="32"/>
  <c r="CG28" i="32"/>
  <c r="CH28" i="32"/>
  <c r="CI28" i="32"/>
  <c r="CJ28" i="32"/>
  <c r="CK28" i="32"/>
  <c r="CL28" i="32"/>
  <c r="CM28" i="32"/>
  <c r="CN28" i="32"/>
  <c r="CO28" i="32"/>
  <c r="CP28" i="32"/>
  <c r="CQ28" i="32"/>
  <c r="CR28" i="32"/>
  <c r="CS28" i="32"/>
  <c r="CT28" i="32"/>
  <c r="CU28" i="32"/>
  <c r="CV28" i="32"/>
  <c r="CW28" i="32"/>
  <c r="CX28" i="32"/>
  <c r="CY28" i="32"/>
  <c r="CZ28" i="32"/>
  <c r="DA28" i="32"/>
  <c r="DB28" i="32"/>
  <c r="DC28" i="32"/>
  <c r="DD28" i="32"/>
  <c r="DE28" i="32"/>
  <c r="DF28" i="32"/>
  <c r="DG28" i="32"/>
  <c r="DH28" i="32"/>
  <c r="DI28" i="32"/>
  <c r="DJ28" i="32"/>
  <c r="DK28" i="32"/>
  <c r="DL28" i="32"/>
  <c r="DM28" i="32"/>
  <c r="DN28" i="32"/>
  <c r="DO28" i="32"/>
  <c r="DP28" i="32"/>
  <c r="DQ28" i="32"/>
  <c r="DR28" i="32"/>
  <c r="DS28" i="32"/>
  <c r="DT28" i="32"/>
  <c r="DU28" i="32"/>
  <c r="DV28" i="32"/>
  <c r="DW28" i="32"/>
  <c r="DX28" i="32"/>
  <c r="DY28" i="32"/>
  <c r="DZ28" i="32"/>
  <c r="EA28" i="32"/>
  <c r="EB28" i="32"/>
  <c r="EC28" i="32"/>
  <c r="ED28" i="32"/>
  <c r="EE28" i="32"/>
  <c r="EF28" i="32"/>
  <c r="EG28" i="32"/>
  <c r="EH28" i="32"/>
  <c r="EI28" i="32"/>
  <c r="EJ28" i="32"/>
  <c r="EK28" i="32"/>
  <c r="EL28" i="32"/>
  <c r="EM28" i="32"/>
  <c r="EN28" i="32"/>
  <c r="EO28" i="32"/>
  <c r="EP28" i="32"/>
  <c r="EQ28" i="32"/>
  <c r="ER28" i="32"/>
  <c r="ES28" i="32"/>
  <c r="ET28" i="32"/>
  <c r="EU28" i="32"/>
  <c r="EV28" i="32"/>
  <c r="EW28" i="32"/>
  <c r="EX28" i="32"/>
  <c r="EY28" i="32"/>
  <c r="EZ28" i="32"/>
  <c r="FA28" i="32"/>
  <c r="FB28" i="32"/>
  <c r="FC28" i="32"/>
  <c r="FD28" i="32"/>
  <c r="FE28" i="32"/>
  <c r="FF28" i="32"/>
  <c r="FG28" i="32"/>
  <c r="FH28" i="32"/>
  <c r="FI28" i="32"/>
  <c r="FJ28" i="32"/>
  <c r="FK28" i="32"/>
  <c r="FL28" i="32"/>
  <c r="FM28" i="32"/>
  <c r="FN28" i="32"/>
  <c r="FO28" i="32"/>
  <c r="FP28" i="32"/>
  <c r="FQ28" i="32"/>
  <c r="FR28" i="32"/>
  <c r="FS28" i="32"/>
  <c r="FT28" i="32"/>
  <c r="FU28" i="32"/>
  <c r="FV28" i="32"/>
  <c r="FW28" i="32"/>
  <c r="FX28" i="32"/>
  <c r="FY28" i="32"/>
  <c r="FZ28" i="32"/>
  <c r="GA28" i="32"/>
  <c r="GB28" i="32"/>
  <c r="GC28" i="32"/>
  <c r="GD28" i="32"/>
  <c r="GE28" i="32"/>
  <c r="GF28" i="32"/>
  <c r="GG28" i="32"/>
  <c r="GH28" i="32"/>
  <c r="GI28" i="32"/>
  <c r="GJ28" i="32"/>
  <c r="GK28" i="32"/>
  <c r="GL28" i="32"/>
  <c r="GM28" i="32"/>
  <c r="GN28" i="32"/>
  <c r="GO28" i="32"/>
  <c r="GP28" i="32"/>
  <c r="GQ28" i="32"/>
  <c r="GR28" i="32"/>
  <c r="GS28" i="32"/>
  <c r="GT28" i="32"/>
  <c r="GU28" i="32"/>
  <c r="GV28" i="32"/>
  <c r="GW28" i="32"/>
  <c r="GX28" i="32"/>
  <c r="GY28" i="32"/>
  <c r="GZ28" i="32"/>
  <c r="HA28" i="32"/>
  <c r="HB28" i="32"/>
  <c r="HC28" i="32"/>
  <c r="HD28" i="32"/>
  <c r="HE28" i="32"/>
  <c r="HF28" i="32"/>
  <c r="HG28" i="32"/>
  <c r="HH28" i="32"/>
  <c r="HI28" i="32"/>
  <c r="HJ28" i="32"/>
  <c r="HK28" i="32"/>
  <c r="HL28" i="32"/>
  <c r="HM28" i="32"/>
  <c r="HN28" i="32"/>
  <c r="HO28" i="32"/>
  <c r="HP28" i="32"/>
  <c r="HQ28" i="32"/>
  <c r="HR28" i="32"/>
  <c r="HS28" i="32"/>
  <c r="HT28" i="32"/>
  <c r="HU28" i="32"/>
  <c r="HV28" i="32"/>
  <c r="HW28" i="32"/>
  <c r="HX28" i="32"/>
  <c r="HY28" i="32"/>
  <c r="HZ28" i="32"/>
  <c r="IA28" i="32"/>
  <c r="IB28" i="32"/>
  <c r="IC28" i="32"/>
  <c r="ID28" i="32"/>
  <c r="IE28" i="32"/>
  <c r="IF28" i="32"/>
  <c r="IG28" i="32"/>
  <c r="IH28" i="32"/>
  <c r="II28" i="32"/>
  <c r="IJ28" i="32"/>
  <c r="IK28" i="32"/>
  <c r="IL28" i="32"/>
  <c r="IM28" i="32"/>
  <c r="IN28" i="32"/>
  <c r="IO28" i="32"/>
  <c r="IP28" i="32"/>
  <c r="IQ28" i="32"/>
  <c r="IR28" i="32"/>
  <c r="IS28" i="32"/>
  <c r="IT28" i="32"/>
  <c r="IU28" i="32"/>
  <c r="IV28" i="32"/>
  <c r="A27" i="32"/>
  <c r="B27" i="32"/>
  <c r="C27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GM27" i="32"/>
  <c r="GN27" i="32"/>
  <c r="GO27" i="32"/>
  <c r="GP27" i="32"/>
  <c r="GQ27" i="32"/>
  <c r="GR27" i="32"/>
  <c r="GS27" i="32"/>
  <c r="GT27" i="32"/>
  <c r="GU27" i="32"/>
  <c r="GV27" i="32"/>
  <c r="GW27" i="32"/>
  <c r="GX27" i="32"/>
  <c r="GY27" i="32"/>
  <c r="GZ27" i="32"/>
  <c r="HA27" i="32"/>
  <c r="HB27" i="32"/>
  <c r="HC27" i="32"/>
  <c r="HD27" i="32"/>
  <c r="HE27" i="32"/>
  <c r="HF27" i="32"/>
  <c r="HG27" i="32"/>
  <c r="HH27" i="32"/>
  <c r="HI27" i="32"/>
  <c r="HJ27" i="32"/>
  <c r="HK27" i="32"/>
  <c r="HL27" i="32"/>
  <c r="HM27" i="32"/>
  <c r="HN27" i="32"/>
  <c r="HO27" i="32"/>
  <c r="HP27" i="32"/>
  <c r="HQ27" i="32"/>
  <c r="HR27" i="32"/>
  <c r="HS27" i="32"/>
  <c r="HT27" i="32"/>
  <c r="HU27" i="32"/>
  <c r="HV27" i="32"/>
  <c r="HW27" i="32"/>
  <c r="HX27" i="32"/>
  <c r="HY27" i="32"/>
  <c r="HZ27" i="32"/>
  <c r="IA27" i="32"/>
  <c r="IB27" i="32"/>
  <c r="IC27" i="32"/>
  <c r="ID27" i="32"/>
  <c r="IE27" i="32"/>
  <c r="IF27" i="32"/>
  <c r="IG27" i="32"/>
  <c r="IH27" i="32"/>
  <c r="II27" i="32"/>
  <c r="IJ27" i="32"/>
  <c r="IK27" i="32"/>
  <c r="IL27" i="32"/>
  <c r="IM27" i="32"/>
  <c r="IN27" i="32"/>
  <c r="IO27" i="32"/>
  <c r="IP27" i="32"/>
  <c r="IQ27" i="32"/>
  <c r="IR27" i="32"/>
  <c r="IS27" i="32"/>
  <c r="IT27" i="32"/>
  <c r="IU27" i="32"/>
  <c r="IV27" i="32"/>
  <c r="A26" i="32"/>
  <c r="B26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GM26" i="32"/>
  <c r="GN26" i="32"/>
  <c r="GO26" i="32"/>
  <c r="GP26" i="32"/>
  <c r="GQ26" i="32"/>
  <c r="GR26" i="32"/>
  <c r="GS26" i="32"/>
  <c r="GT26" i="32"/>
  <c r="GU26" i="32"/>
  <c r="GV26" i="32"/>
  <c r="GW26" i="32"/>
  <c r="GX26" i="32"/>
  <c r="GY26" i="32"/>
  <c r="GZ26" i="32"/>
  <c r="HA26" i="32"/>
  <c r="HB26" i="32"/>
  <c r="HC26" i="32"/>
  <c r="HD26" i="32"/>
  <c r="HE26" i="32"/>
  <c r="HF26" i="32"/>
  <c r="HG26" i="32"/>
  <c r="HH26" i="32"/>
  <c r="HI26" i="32"/>
  <c r="HJ26" i="32"/>
  <c r="HK26" i="32"/>
  <c r="HL26" i="32"/>
  <c r="HM26" i="32"/>
  <c r="HN26" i="32"/>
  <c r="HO26" i="32"/>
  <c r="HP26" i="32"/>
  <c r="HQ26" i="32"/>
  <c r="HR26" i="32"/>
  <c r="HS26" i="32"/>
  <c r="HT26" i="32"/>
  <c r="HU26" i="32"/>
  <c r="HV26" i="32"/>
  <c r="HW26" i="32"/>
  <c r="HX26" i="32"/>
  <c r="HY26" i="32"/>
  <c r="HZ26" i="32"/>
  <c r="IA26" i="32"/>
  <c r="IB26" i="32"/>
  <c r="IC26" i="32"/>
  <c r="ID26" i="32"/>
  <c r="IE26" i="32"/>
  <c r="IF26" i="32"/>
  <c r="IG26" i="32"/>
  <c r="IH26" i="32"/>
  <c r="II26" i="32"/>
  <c r="IJ26" i="32"/>
  <c r="IK26" i="32"/>
  <c r="IL26" i="32"/>
  <c r="IM26" i="32"/>
  <c r="IN26" i="32"/>
  <c r="IO26" i="32"/>
  <c r="IP26" i="32"/>
  <c r="IQ26" i="32"/>
  <c r="IR26" i="32"/>
  <c r="IS26" i="32"/>
  <c r="IT26" i="32"/>
  <c r="IU26" i="32"/>
  <c r="IV26" i="32"/>
  <c r="A25" i="32"/>
  <c r="B25" i="32"/>
  <c r="C25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GM25" i="32"/>
  <c r="GN25" i="32"/>
  <c r="GO25" i="32"/>
  <c r="GP25" i="32"/>
  <c r="GQ25" i="32"/>
  <c r="GR25" i="32"/>
  <c r="GS25" i="32"/>
  <c r="GT25" i="32"/>
  <c r="GU25" i="32"/>
  <c r="GV25" i="32"/>
  <c r="GW25" i="32"/>
  <c r="GX25" i="32"/>
  <c r="GY25" i="32"/>
  <c r="GZ25" i="32"/>
  <c r="HA25" i="32"/>
  <c r="HB25" i="32"/>
  <c r="HC25" i="32"/>
  <c r="HD25" i="32"/>
  <c r="HE25" i="32"/>
  <c r="HF25" i="32"/>
  <c r="HG25" i="32"/>
  <c r="HH25" i="32"/>
  <c r="HI25" i="32"/>
  <c r="HJ25" i="32"/>
  <c r="HK25" i="32"/>
  <c r="HL25" i="32"/>
  <c r="HM25" i="32"/>
  <c r="HN25" i="32"/>
  <c r="HO25" i="32"/>
  <c r="HP25" i="32"/>
  <c r="HQ25" i="32"/>
  <c r="HR25" i="32"/>
  <c r="HS25" i="32"/>
  <c r="HT25" i="32"/>
  <c r="HU25" i="32"/>
  <c r="HV25" i="32"/>
  <c r="HW25" i="32"/>
  <c r="HX25" i="32"/>
  <c r="HY25" i="32"/>
  <c r="HZ25" i="32"/>
  <c r="IA25" i="32"/>
  <c r="IB25" i="32"/>
  <c r="IC25" i="32"/>
  <c r="ID25" i="32"/>
  <c r="IE25" i="32"/>
  <c r="IF25" i="32"/>
  <c r="IG25" i="32"/>
  <c r="IH25" i="32"/>
  <c r="II25" i="32"/>
  <c r="IJ25" i="32"/>
  <c r="IK25" i="32"/>
  <c r="IL25" i="32"/>
  <c r="IM25" i="32"/>
  <c r="IN25" i="32"/>
  <c r="IO25" i="32"/>
  <c r="IP25" i="32"/>
  <c r="IQ25" i="32"/>
  <c r="IR25" i="32"/>
  <c r="IS25" i="32"/>
  <c r="IT25" i="32"/>
  <c r="IU25" i="32"/>
  <c r="IV25" i="32"/>
  <c r="A24" i="32"/>
  <c r="B24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AN24" i="32"/>
  <c r="AO24" i="32"/>
  <c r="AP24" i="32"/>
  <c r="AQ24" i="32"/>
  <c r="AR24" i="32"/>
  <c r="AS24" i="32"/>
  <c r="AT24" i="32"/>
  <c r="AU24" i="32"/>
  <c r="AV24" i="32"/>
  <c r="AW24" i="32"/>
  <c r="AX24" i="32"/>
  <c r="AY24" i="32"/>
  <c r="AZ24" i="32"/>
  <c r="BA24" i="32"/>
  <c r="BB24" i="32"/>
  <c r="BC24" i="32"/>
  <c r="BD24" i="32"/>
  <c r="BE24" i="32"/>
  <c r="BF24" i="32"/>
  <c r="BG24" i="32"/>
  <c r="BH24" i="32"/>
  <c r="BI24" i="32"/>
  <c r="BJ24" i="32"/>
  <c r="BK24" i="32"/>
  <c r="BL24" i="32"/>
  <c r="BM24" i="32"/>
  <c r="BN24" i="32"/>
  <c r="BO24" i="32"/>
  <c r="BP24" i="32"/>
  <c r="BQ24" i="32"/>
  <c r="BR24" i="32"/>
  <c r="BS24" i="32"/>
  <c r="BT24" i="32"/>
  <c r="BU24" i="32"/>
  <c r="BV24" i="32"/>
  <c r="BW24" i="32"/>
  <c r="BX24" i="32"/>
  <c r="BY24" i="32"/>
  <c r="BZ24" i="32"/>
  <c r="CA24" i="32"/>
  <c r="CB24" i="32"/>
  <c r="CC24" i="32"/>
  <c r="CD24" i="32"/>
  <c r="CE24" i="32"/>
  <c r="CF24" i="32"/>
  <c r="CG24" i="32"/>
  <c r="CH24" i="32"/>
  <c r="CI24" i="32"/>
  <c r="CJ24" i="32"/>
  <c r="CK24" i="32"/>
  <c r="CL24" i="32"/>
  <c r="CM24" i="32"/>
  <c r="CN24" i="32"/>
  <c r="CO24" i="32"/>
  <c r="CP24" i="32"/>
  <c r="CQ24" i="32"/>
  <c r="CR24" i="32"/>
  <c r="CS24" i="32"/>
  <c r="CT24" i="32"/>
  <c r="CU24" i="32"/>
  <c r="CV24" i="32"/>
  <c r="CW24" i="32"/>
  <c r="CX24" i="32"/>
  <c r="CY24" i="32"/>
  <c r="CZ24" i="32"/>
  <c r="DA24" i="32"/>
  <c r="DB24" i="32"/>
  <c r="DC24" i="32"/>
  <c r="DD24" i="32"/>
  <c r="DE24" i="32"/>
  <c r="DF24" i="32"/>
  <c r="DG24" i="32"/>
  <c r="DH24" i="32"/>
  <c r="DI24" i="32"/>
  <c r="DJ24" i="32"/>
  <c r="DK24" i="32"/>
  <c r="DL24" i="32"/>
  <c r="DM24" i="32"/>
  <c r="DN24" i="32"/>
  <c r="DO24" i="32"/>
  <c r="DP24" i="32"/>
  <c r="DQ24" i="32"/>
  <c r="DR24" i="32"/>
  <c r="DS24" i="32"/>
  <c r="DT24" i="32"/>
  <c r="DU24" i="32"/>
  <c r="DV24" i="32"/>
  <c r="DW24" i="32"/>
  <c r="DX24" i="32"/>
  <c r="DY24" i="32"/>
  <c r="DZ24" i="32"/>
  <c r="EA24" i="32"/>
  <c r="EB24" i="32"/>
  <c r="EC24" i="32"/>
  <c r="ED24" i="32"/>
  <c r="EE24" i="32"/>
  <c r="EF24" i="32"/>
  <c r="EG24" i="32"/>
  <c r="EH24" i="32"/>
  <c r="EI24" i="32"/>
  <c r="EJ24" i="32"/>
  <c r="EK24" i="32"/>
  <c r="EL24" i="32"/>
  <c r="EM24" i="32"/>
  <c r="EN24" i="32"/>
  <c r="EO24" i="32"/>
  <c r="EP24" i="32"/>
  <c r="EQ24" i="32"/>
  <c r="ER24" i="32"/>
  <c r="ES24" i="32"/>
  <c r="ET24" i="32"/>
  <c r="EU24" i="32"/>
  <c r="EV24" i="32"/>
  <c r="EW24" i="32"/>
  <c r="EX24" i="32"/>
  <c r="EY24" i="32"/>
  <c r="EZ24" i="32"/>
  <c r="FA24" i="32"/>
  <c r="FB24" i="32"/>
  <c r="FC24" i="32"/>
  <c r="FD24" i="32"/>
  <c r="FE24" i="32"/>
  <c r="FF24" i="32"/>
  <c r="FG24" i="32"/>
  <c r="FH24" i="32"/>
  <c r="FI24" i="32"/>
  <c r="FJ24" i="32"/>
  <c r="FK24" i="32"/>
  <c r="FL24" i="32"/>
  <c r="FM24" i="32"/>
  <c r="FN24" i="32"/>
  <c r="FO24" i="32"/>
  <c r="FP24" i="32"/>
  <c r="FQ24" i="32"/>
  <c r="FR24" i="32"/>
  <c r="FS24" i="32"/>
  <c r="FT24" i="32"/>
  <c r="FU24" i="32"/>
  <c r="FV24" i="32"/>
  <c r="FW24" i="32"/>
  <c r="FX24" i="32"/>
  <c r="FY24" i="32"/>
  <c r="FZ24" i="32"/>
  <c r="GA24" i="32"/>
  <c r="GB24" i="32"/>
  <c r="GC24" i="32"/>
  <c r="GD24" i="32"/>
  <c r="GE24" i="32"/>
  <c r="GF24" i="32"/>
  <c r="GG24" i="32"/>
  <c r="GH24" i="32"/>
  <c r="GI24" i="32"/>
  <c r="GJ24" i="32"/>
  <c r="GK24" i="32"/>
  <c r="GL24" i="32"/>
  <c r="GM24" i="32"/>
  <c r="GN24" i="32"/>
  <c r="GO24" i="32"/>
  <c r="GP24" i="32"/>
  <c r="GQ24" i="32"/>
  <c r="GR24" i="32"/>
  <c r="GS24" i="32"/>
  <c r="GT24" i="32"/>
  <c r="GU24" i="32"/>
  <c r="GV24" i="32"/>
  <c r="GW24" i="32"/>
  <c r="GX24" i="32"/>
  <c r="GY24" i="32"/>
  <c r="GZ24" i="32"/>
  <c r="HA24" i="32"/>
  <c r="HB24" i="32"/>
  <c r="HC24" i="32"/>
  <c r="HD24" i="32"/>
  <c r="HE24" i="32"/>
  <c r="HF24" i="32"/>
  <c r="HG24" i="32"/>
  <c r="HH24" i="32"/>
  <c r="HI24" i="32"/>
  <c r="HJ24" i="32"/>
  <c r="HK24" i="32"/>
  <c r="HL24" i="32"/>
  <c r="HM24" i="32"/>
  <c r="HN24" i="32"/>
  <c r="HO24" i="32"/>
  <c r="HP24" i="32"/>
  <c r="HQ24" i="32"/>
  <c r="HR24" i="32"/>
  <c r="HS24" i="32"/>
  <c r="HT24" i="32"/>
  <c r="HU24" i="32"/>
  <c r="HV24" i="32"/>
  <c r="HW24" i="32"/>
  <c r="HX24" i="32"/>
  <c r="HY24" i="32"/>
  <c r="HZ24" i="32"/>
  <c r="IA24" i="32"/>
  <c r="IB24" i="32"/>
  <c r="IC24" i="32"/>
  <c r="ID24" i="32"/>
  <c r="IE24" i="32"/>
  <c r="IF24" i="32"/>
  <c r="IG24" i="32"/>
  <c r="IH24" i="32"/>
  <c r="II24" i="32"/>
  <c r="IJ24" i="32"/>
  <c r="IK24" i="32"/>
  <c r="IL24" i="32"/>
  <c r="IM24" i="32"/>
  <c r="IN24" i="32"/>
  <c r="IO24" i="32"/>
  <c r="IP24" i="32"/>
  <c r="IQ24" i="32"/>
  <c r="IR24" i="32"/>
  <c r="IS24" i="32"/>
  <c r="IT24" i="32"/>
  <c r="IU24" i="32"/>
  <c r="IV24" i="32"/>
  <c r="A23" i="32"/>
  <c r="B23" i="32"/>
  <c r="C23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N23" i="32"/>
  <c r="AO23" i="32"/>
  <c r="AP23" i="32"/>
  <c r="AQ23" i="32"/>
  <c r="AR23" i="32"/>
  <c r="AS23" i="32"/>
  <c r="AT23" i="32"/>
  <c r="AU23" i="32"/>
  <c r="AV23" i="32"/>
  <c r="AW23" i="32"/>
  <c r="AX23" i="32"/>
  <c r="AY23" i="32"/>
  <c r="AZ23" i="32"/>
  <c r="BA23" i="32"/>
  <c r="BB23" i="32"/>
  <c r="BC23" i="32"/>
  <c r="BD23" i="32"/>
  <c r="BE23" i="32"/>
  <c r="BF23" i="32"/>
  <c r="BG23" i="32"/>
  <c r="BH23" i="32"/>
  <c r="BI23" i="32"/>
  <c r="BJ23" i="32"/>
  <c r="BK23" i="32"/>
  <c r="BL23" i="32"/>
  <c r="BM23" i="32"/>
  <c r="BN23" i="32"/>
  <c r="BO23" i="32"/>
  <c r="BP23" i="32"/>
  <c r="BQ23" i="32"/>
  <c r="BR23" i="32"/>
  <c r="BS23" i="32"/>
  <c r="BT23" i="32"/>
  <c r="BU23" i="32"/>
  <c r="BV23" i="32"/>
  <c r="BW23" i="32"/>
  <c r="BX23" i="32"/>
  <c r="BY23" i="32"/>
  <c r="BZ23" i="32"/>
  <c r="CA23" i="32"/>
  <c r="CB23" i="32"/>
  <c r="CC23" i="32"/>
  <c r="CD23" i="32"/>
  <c r="CE23" i="32"/>
  <c r="CF23" i="32"/>
  <c r="CG23" i="32"/>
  <c r="CH23" i="32"/>
  <c r="CI23" i="32"/>
  <c r="CJ23" i="32"/>
  <c r="CK23" i="32"/>
  <c r="CL23" i="32"/>
  <c r="CM23" i="32"/>
  <c r="CN23" i="32"/>
  <c r="CO23" i="32"/>
  <c r="CP23" i="32"/>
  <c r="CQ23" i="32"/>
  <c r="CR23" i="32"/>
  <c r="CS23" i="32"/>
  <c r="CT23" i="32"/>
  <c r="CU23" i="32"/>
  <c r="CV23" i="32"/>
  <c r="CW23" i="32"/>
  <c r="CX23" i="32"/>
  <c r="CY23" i="32"/>
  <c r="CZ23" i="32"/>
  <c r="DA23" i="32"/>
  <c r="DB23" i="32"/>
  <c r="DC23" i="32"/>
  <c r="DD23" i="32"/>
  <c r="DE23" i="32"/>
  <c r="DF23" i="32"/>
  <c r="DG23" i="32"/>
  <c r="DH23" i="32"/>
  <c r="DI23" i="32"/>
  <c r="DJ23" i="32"/>
  <c r="DK23" i="32"/>
  <c r="DL23" i="32"/>
  <c r="DM23" i="32"/>
  <c r="DN23" i="32"/>
  <c r="DO23" i="32"/>
  <c r="DP23" i="32"/>
  <c r="DQ23" i="32"/>
  <c r="DR23" i="32"/>
  <c r="DS23" i="32"/>
  <c r="DT23" i="32"/>
  <c r="DU23" i="32"/>
  <c r="DV23" i="32"/>
  <c r="DW23" i="32"/>
  <c r="DX23" i="32"/>
  <c r="DY23" i="32"/>
  <c r="DZ23" i="32"/>
  <c r="EA23" i="32"/>
  <c r="EB23" i="32"/>
  <c r="EC23" i="32"/>
  <c r="ED23" i="32"/>
  <c r="EE23" i="32"/>
  <c r="EF23" i="32"/>
  <c r="EG23" i="32"/>
  <c r="EH23" i="32"/>
  <c r="EI23" i="32"/>
  <c r="EJ23" i="32"/>
  <c r="EK23" i="32"/>
  <c r="EL23" i="32"/>
  <c r="EM23" i="32"/>
  <c r="EN23" i="32"/>
  <c r="EO23" i="32"/>
  <c r="EP23" i="32"/>
  <c r="EQ23" i="32"/>
  <c r="ER23" i="32"/>
  <c r="ES23" i="32"/>
  <c r="ET23" i="32"/>
  <c r="EU23" i="32"/>
  <c r="EV23" i="32"/>
  <c r="EW23" i="32"/>
  <c r="EX23" i="32"/>
  <c r="EY23" i="32"/>
  <c r="EZ23" i="32"/>
  <c r="FA23" i="32"/>
  <c r="FB23" i="32"/>
  <c r="FC23" i="32"/>
  <c r="FD23" i="32"/>
  <c r="FE23" i="32"/>
  <c r="FF23" i="32"/>
  <c r="FG23" i="32"/>
  <c r="FH23" i="32"/>
  <c r="FI23" i="32"/>
  <c r="FJ23" i="32"/>
  <c r="FK23" i="32"/>
  <c r="FL23" i="32"/>
  <c r="FM23" i="32"/>
  <c r="FN23" i="32"/>
  <c r="FO23" i="32"/>
  <c r="FP23" i="32"/>
  <c r="FQ23" i="32"/>
  <c r="FR23" i="32"/>
  <c r="FS23" i="32"/>
  <c r="FT23" i="32"/>
  <c r="FU23" i="32"/>
  <c r="FV23" i="32"/>
  <c r="FW23" i="32"/>
  <c r="FX23" i="32"/>
  <c r="FY23" i="32"/>
  <c r="FZ23" i="32"/>
  <c r="GA23" i="32"/>
  <c r="GB23" i="32"/>
  <c r="GC23" i="32"/>
  <c r="GD23" i="32"/>
  <c r="GE23" i="32"/>
  <c r="GF23" i="32"/>
  <c r="GG23" i="32"/>
  <c r="GH23" i="32"/>
  <c r="GI23" i="32"/>
  <c r="GJ23" i="32"/>
  <c r="GK23" i="32"/>
  <c r="GL23" i="32"/>
  <c r="GM23" i="32"/>
  <c r="GN23" i="32"/>
  <c r="GO23" i="32"/>
  <c r="GP23" i="32"/>
  <c r="GQ23" i="32"/>
  <c r="GR23" i="32"/>
  <c r="GS23" i="32"/>
  <c r="GT23" i="32"/>
  <c r="GU23" i="32"/>
  <c r="GV23" i="32"/>
  <c r="GW23" i="32"/>
  <c r="GX23" i="32"/>
  <c r="GY23" i="32"/>
  <c r="GZ23" i="32"/>
  <c r="HA23" i="32"/>
  <c r="HB23" i="32"/>
  <c r="HC23" i="32"/>
  <c r="HD23" i="32"/>
  <c r="HE23" i="32"/>
  <c r="HF23" i="32"/>
  <c r="HG23" i="32"/>
  <c r="HH23" i="32"/>
  <c r="HI23" i="32"/>
  <c r="HJ23" i="32"/>
  <c r="HK23" i="32"/>
  <c r="HL23" i="32"/>
  <c r="HM23" i="32"/>
  <c r="HN23" i="32"/>
  <c r="HO23" i="32"/>
  <c r="HP23" i="32"/>
  <c r="HQ23" i="32"/>
  <c r="HR23" i="32"/>
  <c r="HS23" i="32"/>
  <c r="HT23" i="32"/>
  <c r="HU23" i="32"/>
  <c r="HV23" i="32"/>
  <c r="HW23" i="32"/>
  <c r="HX23" i="32"/>
  <c r="HY23" i="32"/>
  <c r="HZ23" i="32"/>
  <c r="IA23" i="32"/>
  <c r="IB23" i="32"/>
  <c r="IC23" i="32"/>
  <c r="ID23" i="32"/>
  <c r="IE23" i="32"/>
  <c r="IF23" i="32"/>
  <c r="IG23" i="32"/>
  <c r="IH23" i="32"/>
  <c r="II23" i="32"/>
  <c r="IJ23" i="32"/>
  <c r="IK23" i="32"/>
  <c r="IL23" i="32"/>
  <c r="IM23" i="32"/>
  <c r="IN23" i="32"/>
  <c r="IO23" i="32"/>
  <c r="IP23" i="32"/>
  <c r="IQ23" i="32"/>
  <c r="IR23" i="32"/>
  <c r="IS23" i="32"/>
  <c r="IT23" i="32"/>
  <c r="IU23" i="32"/>
  <c r="IV23" i="32"/>
  <c r="A22" i="32"/>
  <c r="B22" i="32"/>
  <c r="C22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AO22" i="32"/>
  <c r="AP22" i="32"/>
  <c r="AQ22" i="32"/>
  <c r="AR22" i="32"/>
  <c r="AS22" i="32"/>
  <c r="AT22" i="32"/>
  <c r="AU22" i="32"/>
  <c r="AV22" i="32"/>
  <c r="AW22" i="32"/>
  <c r="AX22" i="32"/>
  <c r="AY22" i="32"/>
  <c r="AZ22" i="32"/>
  <c r="BA22" i="32"/>
  <c r="BB22" i="32"/>
  <c r="BC22" i="32"/>
  <c r="BD22" i="32"/>
  <c r="BE22" i="32"/>
  <c r="BF22" i="32"/>
  <c r="BG22" i="32"/>
  <c r="BH22" i="32"/>
  <c r="BI22" i="32"/>
  <c r="BJ22" i="32"/>
  <c r="BK22" i="32"/>
  <c r="BL22" i="32"/>
  <c r="BM22" i="32"/>
  <c r="BN22" i="32"/>
  <c r="BO22" i="32"/>
  <c r="BP22" i="32"/>
  <c r="BQ22" i="32"/>
  <c r="BR22" i="32"/>
  <c r="BS22" i="32"/>
  <c r="BT22" i="32"/>
  <c r="BU22" i="32"/>
  <c r="BV22" i="32"/>
  <c r="BW22" i="32"/>
  <c r="BX22" i="32"/>
  <c r="BY22" i="32"/>
  <c r="BZ22" i="32"/>
  <c r="CA22" i="32"/>
  <c r="CB22" i="32"/>
  <c r="CC22" i="32"/>
  <c r="CD22" i="32"/>
  <c r="CE22" i="32"/>
  <c r="CF22" i="32"/>
  <c r="CG22" i="32"/>
  <c r="CH22" i="32"/>
  <c r="CI22" i="32"/>
  <c r="CJ22" i="32"/>
  <c r="CK22" i="32"/>
  <c r="CL22" i="32"/>
  <c r="CM22" i="32"/>
  <c r="CN22" i="32"/>
  <c r="CO22" i="32"/>
  <c r="CP22" i="32"/>
  <c r="CQ22" i="32"/>
  <c r="CR22" i="32"/>
  <c r="CS22" i="32"/>
  <c r="CT22" i="32"/>
  <c r="CU22" i="32"/>
  <c r="CV22" i="32"/>
  <c r="CW22" i="32"/>
  <c r="CX22" i="32"/>
  <c r="CY22" i="32"/>
  <c r="CZ22" i="32"/>
  <c r="DA22" i="32"/>
  <c r="DB22" i="32"/>
  <c r="DC22" i="32"/>
  <c r="DD22" i="32"/>
  <c r="DE22" i="32"/>
  <c r="DF22" i="32"/>
  <c r="DG22" i="32"/>
  <c r="DH22" i="32"/>
  <c r="DI22" i="32"/>
  <c r="DJ22" i="32"/>
  <c r="DK22" i="32"/>
  <c r="DL22" i="32"/>
  <c r="DM22" i="32"/>
  <c r="DN22" i="32"/>
  <c r="DO22" i="32"/>
  <c r="DP22" i="32"/>
  <c r="DQ22" i="32"/>
  <c r="DR22" i="32"/>
  <c r="DS22" i="32"/>
  <c r="DT22" i="32"/>
  <c r="DU22" i="32"/>
  <c r="DV22" i="32"/>
  <c r="DW22" i="32"/>
  <c r="DX22" i="32"/>
  <c r="DY22" i="32"/>
  <c r="DZ22" i="32"/>
  <c r="EA22" i="32"/>
  <c r="EB22" i="32"/>
  <c r="EC22" i="32"/>
  <c r="ED22" i="32"/>
  <c r="EE22" i="32"/>
  <c r="EF22" i="32"/>
  <c r="EG22" i="32"/>
  <c r="EH22" i="32"/>
  <c r="EI22" i="32"/>
  <c r="EJ22" i="32"/>
  <c r="EK22" i="32"/>
  <c r="EL22" i="32"/>
  <c r="EM22" i="32"/>
  <c r="EN22" i="32"/>
  <c r="EO22" i="32"/>
  <c r="EP22" i="32"/>
  <c r="EQ22" i="32"/>
  <c r="ER22" i="32"/>
  <c r="ES22" i="32"/>
  <c r="ET22" i="32"/>
  <c r="EU22" i="32"/>
  <c r="EV22" i="32"/>
  <c r="EW22" i="32"/>
  <c r="EX22" i="32"/>
  <c r="EY22" i="32"/>
  <c r="EZ22" i="32"/>
  <c r="FA22" i="32"/>
  <c r="FB22" i="32"/>
  <c r="FC22" i="32"/>
  <c r="FD22" i="32"/>
  <c r="FE22" i="32"/>
  <c r="FF22" i="32"/>
  <c r="FG22" i="32"/>
  <c r="FH22" i="32"/>
  <c r="FI22" i="32"/>
  <c r="FJ22" i="32"/>
  <c r="FK22" i="32"/>
  <c r="FL22" i="32"/>
  <c r="FM22" i="32"/>
  <c r="FN22" i="32"/>
  <c r="FO22" i="32"/>
  <c r="FP22" i="32"/>
  <c r="FQ22" i="32"/>
  <c r="FR22" i="32"/>
  <c r="FS22" i="32"/>
  <c r="FT22" i="32"/>
  <c r="FU22" i="32"/>
  <c r="FV22" i="32"/>
  <c r="FW22" i="32"/>
  <c r="FX22" i="32"/>
  <c r="FY22" i="32"/>
  <c r="FZ22" i="32"/>
  <c r="GA22" i="32"/>
  <c r="GB22" i="32"/>
  <c r="GC22" i="32"/>
  <c r="GD22" i="32"/>
  <c r="GE22" i="32"/>
  <c r="GF22" i="32"/>
  <c r="GG22" i="32"/>
  <c r="GH22" i="32"/>
  <c r="GI22" i="32"/>
  <c r="GJ22" i="32"/>
  <c r="GK22" i="32"/>
  <c r="GL22" i="32"/>
  <c r="GM22" i="32"/>
  <c r="GN22" i="32"/>
  <c r="GO22" i="32"/>
  <c r="GP22" i="32"/>
  <c r="GQ22" i="32"/>
  <c r="GR22" i="32"/>
  <c r="GS22" i="32"/>
  <c r="GT22" i="32"/>
  <c r="GU22" i="32"/>
  <c r="GV22" i="32"/>
  <c r="GW22" i="32"/>
  <c r="GX22" i="32"/>
  <c r="GY22" i="32"/>
  <c r="GZ22" i="32"/>
  <c r="HA22" i="32"/>
  <c r="HB22" i="32"/>
  <c r="HC22" i="32"/>
  <c r="HD22" i="32"/>
  <c r="HE22" i="32"/>
  <c r="HF22" i="32"/>
  <c r="HG22" i="32"/>
  <c r="HH22" i="32"/>
  <c r="HI22" i="32"/>
  <c r="HJ22" i="32"/>
  <c r="HK22" i="32"/>
  <c r="HL22" i="32"/>
  <c r="HM22" i="32"/>
  <c r="HN22" i="32"/>
  <c r="HO22" i="32"/>
  <c r="HP22" i="32"/>
  <c r="HQ22" i="32"/>
  <c r="HR22" i="32"/>
  <c r="HS22" i="32"/>
  <c r="HT22" i="32"/>
  <c r="HU22" i="32"/>
  <c r="HV22" i="32"/>
  <c r="HW22" i="32"/>
  <c r="HX22" i="32"/>
  <c r="HY22" i="32"/>
  <c r="HZ22" i="32"/>
  <c r="IA22" i="32"/>
  <c r="IB22" i="32"/>
  <c r="IC22" i="32"/>
  <c r="ID22" i="32"/>
  <c r="IE22" i="32"/>
  <c r="IF22" i="32"/>
  <c r="IG22" i="32"/>
  <c r="IH22" i="32"/>
  <c r="II22" i="32"/>
  <c r="IJ22" i="32"/>
  <c r="IK22" i="32"/>
  <c r="IL22" i="32"/>
  <c r="IM22" i="32"/>
  <c r="IN22" i="32"/>
  <c r="IO22" i="32"/>
  <c r="IP22" i="32"/>
  <c r="IQ22" i="32"/>
  <c r="IR22" i="32"/>
  <c r="IS22" i="32"/>
  <c r="IT22" i="32"/>
  <c r="IU22" i="32"/>
  <c r="IV22" i="32"/>
  <c r="A21" i="32"/>
  <c r="B21" i="32"/>
  <c r="C21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N21" i="32"/>
  <c r="AO21" i="32"/>
  <c r="AP21" i="32"/>
  <c r="AQ21" i="32"/>
  <c r="AR21" i="32"/>
  <c r="AS21" i="32"/>
  <c r="AT21" i="32"/>
  <c r="AU21" i="32"/>
  <c r="AV21" i="32"/>
  <c r="AW21" i="32"/>
  <c r="AX21" i="32"/>
  <c r="AY21" i="32"/>
  <c r="AZ21" i="32"/>
  <c r="BA21" i="32"/>
  <c r="BB21" i="32"/>
  <c r="BC21" i="32"/>
  <c r="BD21" i="32"/>
  <c r="BE21" i="32"/>
  <c r="BF21" i="32"/>
  <c r="BG21" i="32"/>
  <c r="BH21" i="32"/>
  <c r="BI21" i="32"/>
  <c r="BJ21" i="32"/>
  <c r="BK21" i="32"/>
  <c r="BL21" i="32"/>
  <c r="BM21" i="32"/>
  <c r="BN21" i="32"/>
  <c r="BO21" i="32"/>
  <c r="BP21" i="32"/>
  <c r="BQ21" i="32"/>
  <c r="BR21" i="32"/>
  <c r="BS21" i="32"/>
  <c r="BT21" i="32"/>
  <c r="BU21" i="32"/>
  <c r="BV21" i="32"/>
  <c r="BW21" i="32"/>
  <c r="BX21" i="32"/>
  <c r="BY21" i="32"/>
  <c r="BZ21" i="32"/>
  <c r="CA21" i="32"/>
  <c r="CB21" i="32"/>
  <c r="CC21" i="32"/>
  <c r="CD21" i="32"/>
  <c r="CE21" i="32"/>
  <c r="CF21" i="32"/>
  <c r="CG21" i="32"/>
  <c r="CH21" i="32"/>
  <c r="CI21" i="32"/>
  <c r="CJ21" i="32"/>
  <c r="CK21" i="32"/>
  <c r="CL21" i="32"/>
  <c r="CM21" i="32"/>
  <c r="CN21" i="32"/>
  <c r="CO21" i="32"/>
  <c r="CP21" i="32"/>
  <c r="CQ21" i="32"/>
  <c r="CR21" i="32"/>
  <c r="CS21" i="32"/>
  <c r="CT21" i="32"/>
  <c r="CU21" i="32"/>
  <c r="CV21" i="32"/>
  <c r="CW21" i="32"/>
  <c r="CX21" i="32"/>
  <c r="CY21" i="32"/>
  <c r="CZ21" i="32"/>
  <c r="DA21" i="32"/>
  <c r="DB21" i="32"/>
  <c r="DC21" i="32"/>
  <c r="DD21" i="32"/>
  <c r="DE21" i="32"/>
  <c r="DF21" i="32"/>
  <c r="DG21" i="32"/>
  <c r="DH21" i="32"/>
  <c r="DI21" i="32"/>
  <c r="DJ21" i="32"/>
  <c r="DK21" i="32"/>
  <c r="DL21" i="32"/>
  <c r="DM21" i="32"/>
  <c r="DN21" i="32"/>
  <c r="DO21" i="32"/>
  <c r="DP21" i="32"/>
  <c r="DQ21" i="32"/>
  <c r="DR21" i="32"/>
  <c r="DS21" i="32"/>
  <c r="DT21" i="32"/>
  <c r="DU21" i="32"/>
  <c r="DV21" i="32"/>
  <c r="DW21" i="32"/>
  <c r="DX21" i="32"/>
  <c r="DY21" i="32"/>
  <c r="DZ21" i="32"/>
  <c r="EA21" i="32"/>
  <c r="EB21" i="32"/>
  <c r="EC21" i="32"/>
  <c r="ED21" i="32"/>
  <c r="EE21" i="32"/>
  <c r="EF21" i="32"/>
  <c r="EG21" i="32"/>
  <c r="EH21" i="32"/>
  <c r="EI21" i="32"/>
  <c r="EJ21" i="32"/>
  <c r="EK21" i="32"/>
  <c r="EL21" i="32"/>
  <c r="EM21" i="32"/>
  <c r="EN21" i="32"/>
  <c r="EO21" i="32"/>
  <c r="EP21" i="32"/>
  <c r="EQ21" i="32"/>
  <c r="ER21" i="32"/>
  <c r="ES21" i="32"/>
  <c r="ET21" i="32"/>
  <c r="EU21" i="32"/>
  <c r="EV21" i="32"/>
  <c r="EW21" i="32"/>
  <c r="EX21" i="32"/>
  <c r="EY21" i="32"/>
  <c r="EZ21" i="32"/>
  <c r="FA21" i="32"/>
  <c r="FB21" i="32"/>
  <c r="FC21" i="32"/>
  <c r="FD21" i="32"/>
  <c r="FE21" i="32"/>
  <c r="FF21" i="32"/>
  <c r="FG21" i="32"/>
  <c r="FH21" i="32"/>
  <c r="FI21" i="32"/>
  <c r="FJ21" i="32"/>
  <c r="FK21" i="32"/>
  <c r="FL21" i="32"/>
  <c r="FM21" i="32"/>
  <c r="FN21" i="32"/>
  <c r="FO21" i="32"/>
  <c r="FP21" i="32"/>
  <c r="FQ21" i="32"/>
  <c r="FR21" i="32"/>
  <c r="FS21" i="32"/>
  <c r="FT21" i="32"/>
  <c r="FU21" i="32"/>
  <c r="FV21" i="32"/>
  <c r="FW21" i="32"/>
  <c r="FX21" i="32"/>
  <c r="FY21" i="32"/>
  <c r="FZ21" i="32"/>
  <c r="GA21" i="32"/>
  <c r="GB21" i="32"/>
  <c r="GC21" i="32"/>
  <c r="GD21" i="32"/>
  <c r="GE21" i="32"/>
  <c r="GF21" i="32"/>
  <c r="GG21" i="32"/>
  <c r="GH21" i="32"/>
  <c r="GI21" i="32"/>
  <c r="GJ21" i="32"/>
  <c r="GK21" i="32"/>
  <c r="GL21" i="32"/>
  <c r="GM21" i="32"/>
  <c r="GN21" i="32"/>
  <c r="GO21" i="32"/>
  <c r="GP21" i="32"/>
  <c r="GQ21" i="32"/>
  <c r="GR21" i="32"/>
  <c r="GS21" i="32"/>
  <c r="GT21" i="32"/>
  <c r="GU21" i="32"/>
  <c r="GV21" i="32"/>
  <c r="GW21" i="32"/>
  <c r="GX21" i="32"/>
  <c r="GY21" i="32"/>
  <c r="GZ21" i="32"/>
  <c r="HA21" i="32"/>
  <c r="HB21" i="32"/>
  <c r="HC21" i="32"/>
  <c r="HD21" i="32"/>
  <c r="HE21" i="32"/>
  <c r="HF21" i="32"/>
  <c r="HG21" i="32"/>
  <c r="HH21" i="32"/>
  <c r="HI21" i="32"/>
  <c r="HJ21" i="32"/>
  <c r="HK21" i="32"/>
  <c r="HL21" i="32"/>
  <c r="HM21" i="32"/>
  <c r="HN21" i="32"/>
  <c r="HO21" i="32"/>
  <c r="HP21" i="32"/>
  <c r="HQ21" i="32"/>
  <c r="HR21" i="32"/>
  <c r="HS21" i="32"/>
  <c r="HT21" i="32"/>
  <c r="HU21" i="32"/>
  <c r="HV21" i="32"/>
  <c r="HW21" i="32"/>
  <c r="HX21" i="32"/>
  <c r="HY21" i="32"/>
  <c r="HZ21" i="32"/>
  <c r="IA21" i="32"/>
  <c r="IB21" i="32"/>
  <c r="IC21" i="32"/>
  <c r="ID21" i="32"/>
  <c r="IE21" i="32"/>
  <c r="IF21" i="32"/>
  <c r="IG21" i="32"/>
  <c r="IH21" i="32"/>
  <c r="II21" i="32"/>
  <c r="IJ21" i="32"/>
  <c r="IK21" i="32"/>
  <c r="IL21" i="32"/>
  <c r="IM21" i="32"/>
  <c r="IN21" i="32"/>
  <c r="IO21" i="32"/>
  <c r="IP21" i="32"/>
  <c r="IQ21" i="32"/>
  <c r="IR21" i="32"/>
  <c r="IS21" i="32"/>
  <c r="IT21" i="32"/>
  <c r="IU21" i="32"/>
  <c r="IV21" i="32"/>
  <c r="A20" i="32"/>
  <c r="B20" i="32"/>
  <c r="C20" i="32"/>
  <c r="D20" i="32"/>
  <c r="E20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V20" i="32"/>
  <c r="W20" i="32"/>
  <c r="X20" i="32"/>
  <c r="Y20" i="32"/>
  <c r="Z20" i="32"/>
  <c r="AA20" i="32"/>
  <c r="AB20" i="32"/>
  <c r="AC20" i="32"/>
  <c r="AD20" i="32"/>
  <c r="AE20" i="32"/>
  <c r="AF20" i="32"/>
  <c r="AG20" i="32"/>
  <c r="AH20" i="32"/>
  <c r="AI20" i="32"/>
  <c r="AJ20" i="32"/>
  <c r="AK20" i="32"/>
  <c r="AL20" i="32"/>
  <c r="AM20" i="32"/>
  <c r="AN20" i="32"/>
  <c r="AO20" i="32"/>
  <c r="AP20" i="32"/>
  <c r="AQ20" i="32"/>
  <c r="AR20" i="32"/>
  <c r="AS20" i="32"/>
  <c r="AT20" i="32"/>
  <c r="AU20" i="32"/>
  <c r="AV20" i="32"/>
  <c r="AW20" i="32"/>
  <c r="AX20" i="32"/>
  <c r="AY20" i="32"/>
  <c r="AZ20" i="32"/>
  <c r="BA20" i="32"/>
  <c r="BB20" i="32"/>
  <c r="BC20" i="32"/>
  <c r="BD20" i="32"/>
  <c r="BE20" i="32"/>
  <c r="BF20" i="32"/>
  <c r="BG20" i="32"/>
  <c r="BH20" i="32"/>
  <c r="BI20" i="32"/>
  <c r="BJ20" i="32"/>
  <c r="BK20" i="32"/>
  <c r="BL20" i="32"/>
  <c r="BM20" i="32"/>
  <c r="BN20" i="32"/>
  <c r="BO20" i="32"/>
  <c r="BP20" i="32"/>
  <c r="BQ20" i="32"/>
  <c r="BR20" i="32"/>
  <c r="BS20" i="32"/>
  <c r="BT20" i="32"/>
  <c r="BU20" i="32"/>
  <c r="BV20" i="32"/>
  <c r="BW20" i="32"/>
  <c r="BX20" i="32"/>
  <c r="BY20" i="32"/>
  <c r="BZ20" i="32"/>
  <c r="CA20" i="32"/>
  <c r="CB20" i="32"/>
  <c r="CC20" i="32"/>
  <c r="CD20" i="32"/>
  <c r="CE20" i="32"/>
  <c r="CF20" i="32"/>
  <c r="CG20" i="32"/>
  <c r="CH20" i="32"/>
  <c r="CI20" i="32"/>
  <c r="CJ20" i="32"/>
  <c r="CK20" i="32"/>
  <c r="CL20" i="32"/>
  <c r="CM20" i="32"/>
  <c r="CN20" i="32"/>
  <c r="CO20" i="32"/>
  <c r="CP20" i="32"/>
  <c r="CQ20" i="32"/>
  <c r="CR20" i="32"/>
  <c r="CS20" i="32"/>
  <c r="CT20" i="32"/>
  <c r="CU20" i="32"/>
  <c r="CV20" i="32"/>
  <c r="CW20" i="32"/>
  <c r="CX20" i="32"/>
  <c r="CY20" i="32"/>
  <c r="CZ20" i="32"/>
  <c r="DA20" i="32"/>
  <c r="DB20" i="32"/>
  <c r="DC20" i="32"/>
  <c r="DD20" i="32"/>
  <c r="DE20" i="32"/>
  <c r="DF20" i="32"/>
  <c r="DG20" i="32"/>
  <c r="DH20" i="32"/>
  <c r="DI20" i="32"/>
  <c r="DJ20" i="32"/>
  <c r="DK20" i="32"/>
  <c r="DL20" i="32"/>
  <c r="DM20" i="32"/>
  <c r="DN20" i="32"/>
  <c r="DO20" i="32"/>
  <c r="DP20" i="32"/>
  <c r="DQ20" i="32"/>
  <c r="DR20" i="32"/>
  <c r="DS20" i="32"/>
  <c r="DT20" i="32"/>
  <c r="DU20" i="32"/>
  <c r="DV20" i="32"/>
  <c r="DW20" i="32"/>
  <c r="DX20" i="32"/>
  <c r="DY20" i="32"/>
  <c r="DZ20" i="32"/>
  <c r="EA20" i="32"/>
  <c r="EB20" i="32"/>
  <c r="EC20" i="32"/>
  <c r="ED20" i="32"/>
  <c r="EE20" i="32"/>
  <c r="EF20" i="32"/>
  <c r="EG20" i="32"/>
  <c r="EH20" i="32"/>
  <c r="EI20" i="32"/>
  <c r="EJ20" i="32"/>
  <c r="EK20" i="32"/>
  <c r="EL20" i="32"/>
  <c r="EM20" i="32"/>
  <c r="EN20" i="32"/>
  <c r="EO20" i="32"/>
  <c r="EP20" i="32"/>
  <c r="EQ20" i="32"/>
  <c r="ER20" i="32"/>
  <c r="ES20" i="32"/>
  <c r="ET20" i="32"/>
  <c r="EU20" i="32"/>
  <c r="EV20" i="32"/>
  <c r="EW20" i="32"/>
  <c r="EX20" i="32"/>
  <c r="EY20" i="32"/>
  <c r="EZ20" i="32"/>
  <c r="FA20" i="32"/>
  <c r="FB20" i="32"/>
  <c r="FC20" i="32"/>
  <c r="FD20" i="32"/>
  <c r="FE20" i="32"/>
  <c r="FF20" i="32"/>
  <c r="FG20" i="32"/>
  <c r="FH20" i="32"/>
  <c r="FI20" i="32"/>
  <c r="FJ20" i="32"/>
  <c r="FK20" i="32"/>
  <c r="FL20" i="32"/>
  <c r="FM20" i="32"/>
  <c r="FN20" i="32"/>
  <c r="FO20" i="32"/>
  <c r="FP20" i="32"/>
  <c r="FQ20" i="32"/>
  <c r="FR20" i="32"/>
  <c r="FS20" i="32"/>
  <c r="FT20" i="32"/>
  <c r="FU20" i="32"/>
  <c r="FV20" i="32"/>
  <c r="FW20" i="32"/>
  <c r="FX20" i="32"/>
  <c r="FY20" i="32"/>
  <c r="FZ20" i="32"/>
  <c r="GA20" i="32"/>
  <c r="GB20" i="32"/>
  <c r="GC20" i="32"/>
  <c r="GD20" i="32"/>
  <c r="GE20" i="32"/>
  <c r="GF20" i="32"/>
  <c r="GG20" i="32"/>
  <c r="GH20" i="32"/>
  <c r="GI20" i="32"/>
  <c r="GJ20" i="32"/>
  <c r="GK20" i="32"/>
  <c r="GL20" i="32"/>
  <c r="GM20" i="32"/>
  <c r="GN20" i="32"/>
  <c r="GO20" i="32"/>
  <c r="GP20" i="32"/>
  <c r="GQ20" i="32"/>
  <c r="GR20" i="32"/>
  <c r="GS20" i="32"/>
  <c r="GT20" i="32"/>
  <c r="GU20" i="32"/>
  <c r="GV20" i="32"/>
  <c r="GW20" i="32"/>
  <c r="GX20" i="32"/>
  <c r="GY20" i="32"/>
  <c r="GZ20" i="32"/>
  <c r="HA20" i="32"/>
  <c r="HB20" i="32"/>
  <c r="HC20" i="32"/>
  <c r="HD20" i="32"/>
  <c r="HE20" i="32"/>
  <c r="HF20" i="32"/>
  <c r="HG20" i="32"/>
  <c r="HH20" i="32"/>
  <c r="HI20" i="32"/>
  <c r="HJ20" i="32"/>
  <c r="HK20" i="32"/>
  <c r="HL20" i="32"/>
  <c r="HM20" i="32"/>
  <c r="HN20" i="32"/>
  <c r="HO20" i="32"/>
  <c r="HP20" i="32"/>
  <c r="HQ20" i="32"/>
  <c r="HR20" i="32"/>
  <c r="HS20" i="32"/>
  <c r="HT20" i="32"/>
  <c r="HU20" i="32"/>
  <c r="HV20" i="32"/>
  <c r="HW20" i="32"/>
  <c r="HX20" i="32"/>
  <c r="HY20" i="32"/>
  <c r="HZ20" i="32"/>
  <c r="IA20" i="32"/>
  <c r="IB20" i="32"/>
  <c r="IC20" i="32"/>
  <c r="ID20" i="32"/>
  <c r="IE20" i="32"/>
  <c r="IF20" i="32"/>
  <c r="IG20" i="32"/>
  <c r="IH20" i="32"/>
  <c r="II20" i="32"/>
  <c r="IJ20" i="32"/>
  <c r="IK20" i="32"/>
  <c r="IL20" i="32"/>
  <c r="IM20" i="32"/>
  <c r="IN20" i="32"/>
  <c r="IO20" i="32"/>
  <c r="IP20" i="32"/>
  <c r="IQ20" i="32"/>
  <c r="IR20" i="32"/>
  <c r="IS20" i="32"/>
  <c r="IT20" i="32"/>
  <c r="IU20" i="32"/>
  <c r="IV20" i="32"/>
  <c r="A19" i="32"/>
  <c r="B19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H19" i="32"/>
  <c r="AI19" i="32"/>
  <c r="AJ19" i="32"/>
  <c r="AK19" i="32"/>
  <c r="AL19" i="32"/>
  <c r="AM19" i="32"/>
  <c r="AN19" i="32"/>
  <c r="AO19" i="32"/>
  <c r="AP19" i="32"/>
  <c r="AQ19" i="32"/>
  <c r="AR19" i="32"/>
  <c r="AS19" i="32"/>
  <c r="AT19" i="32"/>
  <c r="AU19" i="32"/>
  <c r="AV19" i="32"/>
  <c r="AW19" i="32"/>
  <c r="AX19" i="32"/>
  <c r="AY19" i="32"/>
  <c r="AZ19" i="32"/>
  <c r="BA19" i="32"/>
  <c r="BB19" i="32"/>
  <c r="BC19" i="32"/>
  <c r="BD19" i="32"/>
  <c r="BE19" i="32"/>
  <c r="BF19" i="32"/>
  <c r="BG19" i="32"/>
  <c r="BH19" i="32"/>
  <c r="BI19" i="32"/>
  <c r="BJ19" i="32"/>
  <c r="BK19" i="32"/>
  <c r="BL19" i="32"/>
  <c r="BM19" i="32"/>
  <c r="BN19" i="32"/>
  <c r="BO19" i="32"/>
  <c r="BP19" i="32"/>
  <c r="BQ19" i="32"/>
  <c r="BR19" i="32"/>
  <c r="BS19" i="32"/>
  <c r="BT19" i="32"/>
  <c r="BU19" i="32"/>
  <c r="BV19" i="32"/>
  <c r="BW19" i="32"/>
  <c r="BX19" i="32"/>
  <c r="BY19" i="32"/>
  <c r="BZ19" i="32"/>
  <c r="CA19" i="32"/>
  <c r="CB19" i="32"/>
  <c r="CC19" i="32"/>
  <c r="CD19" i="32"/>
  <c r="CE19" i="32"/>
  <c r="CF19" i="32"/>
  <c r="CG19" i="32"/>
  <c r="CH19" i="32"/>
  <c r="CI19" i="32"/>
  <c r="CJ19" i="32"/>
  <c r="CK19" i="32"/>
  <c r="CL19" i="32"/>
  <c r="CM19" i="32"/>
  <c r="CN19" i="32"/>
  <c r="CO19" i="32"/>
  <c r="CP19" i="32"/>
  <c r="CQ19" i="32"/>
  <c r="CR19" i="32"/>
  <c r="CS19" i="32"/>
  <c r="CT19" i="32"/>
  <c r="CU19" i="32"/>
  <c r="CV19" i="32"/>
  <c r="CW19" i="32"/>
  <c r="CX19" i="32"/>
  <c r="CY19" i="32"/>
  <c r="CZ19" i="32"/>
  <c r="DA19" i="32"/>
  <c r="DB19" i="32"/>
  <c r="DC19" i="32"/>
  <c r="DD19" i="32"/>
  <c r="DE19" i="32"/>
  <c r="DF19" i="32"/>
  <c r="DG19" i="32"/>
  <c r="DH19" i="32"/>
  <c r="DI19" i="32"/>
  <c r="DJ19" i="32"/>
  <c r="DK19" i="32"/>
  <c r="DL19" i="32"/>
  <c r="DM19" i="32"/>
  <c r="DN19" i="32"/>
  <c r="DO19" i="32"/>
  <c r="DP19" i="32"/>
  <c r="DQ19" i="32"/>
  <c r="DR19" i="32"/>
  <c r="DS19" i="32"/>
  <c r="DT19" i="32"/>
  <c r="DU19" i="32"/>
  <c r="DV19" i="32"/>
  <c r="DW19" i="32"/>
  <c r="DX19" i="32"/>
  <c r="DY19" i="32"/>
  <c r="DZ19" i="32"/>
  <c r="EA19" i="32"/>
  <c r="EB19" i="32"/>
  <c r="EC19" i="32"/>
  <c r="ED19" i="32"/>
  <c r="EE19" i="32"/>
  <c r="EF19" i="32"/>
  <c r="EG19" i="32"/>
  <c r="EH19" i="32"/>
  <c r="EI19" i="32"/>
  <c r="EJ19" i="32"/>
  <c r="EK19" i="32"/>
  <c r="EL19" i="32"/>
  <c r="EM19" i="32"/>
  <c r="EN19" i="32"/>
  <c r="EO19" i="32"/>
  <c r="EP19" i="32"/>
  <c r="EQ19" i="32"/>
  <c r="ER19" i="32"/>
  <c r="ES19" i="32"/>
  <c r="ET19" i="32"/>
  <c r="EU19" i="32"/>
  <c r="EV19" i="32"/>
  <c r="EW19" i="32"/>
  <c r="EX19" i="32"/>
  <c r="EY19" i="32"/>
  <c r="EZ19" i="32"/>
  <c r="FA19" i="32"/>
  <c r="FB19" i="32"/>
  <c r="FC19" i="32"/>
  <c r="FD19" i="32"/>
  <c r="FE19" i="32"/>
  <c r="FF19" i="32"/>
  <c r="FG19" i="32"/>
  <c r="FH19" i="32"/>
  <c r="FI19" i="32"/>
  <c r="FJ19" i="32"/>
  <c r="FK19" i="32"/>
  <c r="FL19" i="32"/>
  <c r="FM19" i="32"/>
  <c r="FN19" i="32"/>
  <c r="FO19" i="32"/>
  <c r="FP19" i="32"/>
  <c r="FQ19" i="32"/>
  <c r="FR19" i="32"/>
  <c r="FS19" i="32"/>
  <c r="FT19" i="32"/>
  <c r="FU19" i="32"/>
  <c r="FV19" i="32"/>
  <c r="FW19" i="32"/>
  <c r="FX19" i="32"/>
  <c r="FY19" i="32"/>
  <c r="FZ19" i="32"/>
  <c r="GA19" i="32"/>
  <c r="GB19" i="32"/>
  <c r="GC19" i="32"/>
  <c r="GD19" i="32"/>
  <c r="GE19" i="32"/>
  <c r="GF19" i="32"/>
  <c r="GG19" i="32"/>
  <c r="GH19" i="32"/>
  <c r="GI19" i="32"/>
  <c r="GJ19" i="32"/>
  <c r="GK19" i="32"/>
  <c r="GL19" i="32"/>
  <c r="GM19" i="32"/>
  <c r="GN19" i="32"/>
  <c r="GO19" i="32"/>
  <c r="GP19" i="32"/>
  <c r="GQ19" i="32"/>
  <c r="GR19" i="32"/>
  <c r="GS19" i="32"/>
  <c r="GT19" i="32"/>
  <c r="GU19" i="32"/>
  <c r="GV19" i="32"/>
  <c r="GW19" i="32"/>
  <c r="GX19" i="32"/>
  <c r="GY19" i="32"/>
  <c r="GZ19" i="32"/>
  <c r="HA19" i="32"/>
  <c r="HB19" i="32"/>
  <c r="HC19" i="32"/>
  <c r="HD19" i="32"/>
  <c r="HE19" i="32"/>
  <c r="HF19" i="32"/>
  <c r="HG19" i="32"/>
  <c r="HH19" i="32"/>
  <c r="HI19" i="32"/>
  <c r="HJ19" i="32"/>
  <c r="HK19" i="32"/>
  <c r="HL19" i="32"/>
  <c r="HM19" i="32"/>
  <c r="HN19" i="32"/>
  <c r="HO19" i="32"/>
  <c r="HP19" i="32"/>
  <c r="HQ19" i="32"/>
  <c r="HR19" i="32"/>
  <c r="HS19" i="32"/>
  <c r="HT19" i="32"/>
  <c r="HU19" i="32"/>
  <c r="HV19" i="32"/>
  <c r="HW19" i="32"/>
  <c r="HX19" i="32"/>
  <c r="HY19" i="32"/>
  <c r="HZ19" i="32"/>
  <c r="IA19" i="32"/>
  <c r="IB19" i="32"/>
  <c r="IC19" i="32"/>
  <c r="ID19" i="32"/>
  <c r="IE19" i="32"/>
  <c r="IF19" i="32"/>
  <c r="IG19" i="32"/>
  <c r="IH19" i="32"/>
  <c r="II19" i="32"/>
  <c r="IJ19" i="32"/>
  <c r="IK19" i="32"/>
  <c r="IL19" i="32"/>
  <c r="IM19" i="32"/>
  <c r="IN19" i="32"/>
  <c r="IO19" i="32"/>
  <c r="IP19" i="32"/>
  <c r="IQ19" i="32"/>
  <c r="IR19" i="32"/>
  <c r="IS19" i="32"/>
  <c r="IT19" i="32"/>
  <c r="IU19" i="32"/>
  <c r="IV19" i="32"/>
  <c r="A18" i="32"/>
  <c r="B18" i="32"/>
  <c r="C18" i="32"/>
  <c r="D18" i="32"/>
  <c r="E18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Z18" i="32"/>
  <c r="AA18" i="32"/>
  <c r="AB18" i="32"/>
  <c r="AC18" i="32"/>
  <c r="AD18" i="32"/>
  <c r="AE18" i="32"/>
  <c r="AF18" i="32"/>
  <c r="AG18" i="32"/>
  <c r="AH18" i="32"/>
  <c r="AI18" i="32"/>
  <c r="AJ18" i="32"/>
  <c r="AK18" i="32"/>
  <c r="AL18" i="32"/>
  <c r="AM18" i="32"/>
  <c r="AN18" i="32"/>
  <c r="AO18" i="32"/>
  <c r="AP18" i="32"/>
  <c r="AQ18" i="32"/>
  <c r="AR18" i="32"/>
  <c r="AS18" i="32"/>
  <c r="AT18" i="32"/>
  <c r="AU18" i="32"/>
  <c r="AV18" i="32"/>
  <c r="AW18" i="32"/>
  <c r="AX18" i="32"/>
  <c r="AY18" i="32"/>
  <c r="AZ18" i="32"/>
  <c r="BA18" i="32"/>
  <c r="BB18" i="32"/>
  <c r="BC18" i="32"/>
  <c r="BD18" i="32"/>
  <c r="BE18" i="32"/>
  <c r="BF18" i="32"/>
  <c r="BG18" i="32"/>
  <c r="BH18" i="32"/>
  <c r="BI18" i="32"/>
  <c r="BJ18" i="32"/>
  <c r="BK18" i="32"/>
  <c r="BL18" i="32"/>
  <c r="BM18" i="32"/>
  <c r="BN18" i="32"/>
  <c r="BO18" i="32"/>
  <c r="BP18" i="32"/>
  <c r="BQ18" i="32"/>
  <c r="BR18" i="32"/>
  <c r="BS18" i="32"/>
  <c r="BT18" i="32"/>
  <c r="BU18" i="32"/>
  <c r="BV18" i="32"/>
  <c r="BW18" i="32"/>
  <c r="BX18" i="32"/>
  <c r="BY18" i="32"/>
  <c r="BZ18" i="32"/>
  <c r="CA18" i="32"/>
  <c r="CB18" i="32"/>
  <c r="CC18" i="32"/>
  <c r="CD18" i="32"/>
  <c r="CE18" i="32"/>
  <c r="CF18" i="32"/>
  <c r="CG18" i="32"/>
  <c r="CH18" i="32"/>
  <c r="CI18" i="32"/>
  <c r="CJ18" i="32"/>
  <c r="CK18" i="32"/>
  <c r="CL18" i="32"/>
  <c r="CM18" i="32"/>
  <c r="CN18" i="32"/>
  <c r="CO18" i="32"/>
  <c r="CP18" i="32"/>
  <c r="CQ18" i="32"/>
  <c r="CR18" i="32"/>
  <c r="CS18" i="32"/>
  <c r="CT18" i="32"/>
  <c r="CU18" i="32"/>
  <c r="CV18" i="32"/>
  <c r="CW18" i="32"/>
  <c r="CX18" i="32"/>
  <c r="CY18" i="32"/>
  <c r="CZ18" i="32"/>
  <c r="DA18" i="32"/>
  <c r="DB18" i="32"/>
  <c r="DC18" i="32"/>
  <c r="DD18" i="32"/>
  <c r="DE18" i="32"/>
  <c r="DF18" i="32"/>
  <c r="DG18" i="32"/>
  <c r="DH18" i="32"/>
  <c r="DI18" i="32"/>
  <c r="DJ18" i="32"/>
  <c r="DK18" i="32"/>
  <c r="DL18" i="32"/>
  <c r="DM18" i="32"/>
  <c r="DN18" i="32"/>
  <c r="DO18" i="32"/>
  <c r="DP18" i="32"/>
  <c r="DQ18" i="32"/>
  <c r="DR18" i="32"/>
  <c r="DS18" i="32"/>
  <c r="DT18" i="32"/>
  <c r="DU18" i="32"/>
  <c r="DV18" i="32"/>
  <c r="DW18" i="32"/>
  <c r="DX18" i="32"/>
  <c r="DY18" i="32"/>
  <c r="DZ18" i="32"/>
  <c r="EA18" i="32"/>
  <c r="EB18" i="32"/>
  <c r="EC18" i="32"/>
  <c r="ED18" i="32"/>
  <c r="EE18" i="32"/>
  <c r="EF18" i="32"/>
  <c r="EG18" i="32"/>
  <c r="EH18" i="32"/>
  <c r="EI18" i="32"/>
  <c r="EJ18" i="32"/>
  <c r="EK18" i="32"/>
  <c r="EL18" i="32"/>
  <c r="EM18" i="32"/>
  <c r="EN18" i="32"/>
  <c r="EO18" i="32"/>
  <c r="EP18" i="32"/>
  <c r="EQ18" i="32"/>
  <c r="ER18" i="32"/>
  <c r="ES18" i="32"/>
  <c r="ET18" i="32"/>
  <c r="EU18" i="32"/>
  <c r="EV18" i="32"/>
  <c r="EW18" i="32"/>
  <c r="EX18" i="32"/>
  <c r="EY18" i="32"/>
  <c r="EZ18" i="32"/>
  <c r="FA18" i="32"/>
  <c r="FB18" i="32"/>
  <c r="FC18" i="32"/>
  <c r="FD18" i="32"/>
  <c r="FE18" i="32"/>
  <c r="FF18" i="32"/>
  <c r="FG18" i="32"/>
  <c r="FH18" i="32"/>
  <c r="FI18" i="32"/>
  <c r="FJ18" i="32"/>
  <c r="FK18" i="32"/>
  <c r="FL18" i="32"/>
  <c r="FM18" i="32"/>
  <c r="FN18" i="32"/>
  <c r="FO18" i="32"/>
  <c r="FP18" i="32"/>
  <c r="FQ18" i="32"/>
  <c r="FR18" i="32"/>
  <c r="FS18" i="32"/>
  <c r="FT18" i="32"/>
  <c r="FU18" i="32"/>
  <c r="FV18" i="32"/>
  <c r="FW18" i="32"/>
  <c r="FX18" i="32"/>
  <c r="FY18" i="32"/>
  <c r="FZ18" i="32"/>
  <c r="GA18" i="32"/>
  <c r="GB18" i="32"/>
  <c r="GC18" i="32"/>
  <c r="GD18" i="32"/>
  <c r="GE18" i="32"/>
  <c r="GF18" i="32"/>
  <c r="GG18" i="32"/>
  <c r="GH18" i="32"/>
  <c r="GI18" i="32"/>
  <c r="GJ18" i="32"/>
  <c r="GK18" i="32"/>
  <c r="GL18" i="32"/>
  <c r="GM18" i="32"/>
  <c r="GN18" i="32"/>
  <c r="GO18" i="32"/>
  <c r="GP18" i="32"/>
  <c r="GQ18" i="32"/>
  <c r="GR18" i="32"/>
  <c r="GS18" i="32"/>
  <c r="GT18" i="32"/>
  <c r="GU18" i="32"/>
  <c r="GV18" i="32"/>
  <c r="GW18" i="32"/>
  <c r="GX18" i="32"/>
  <c r="GY18" i="32"/>
  <c r="GZ18" i="32"/>
  <c r="HA18" i="32"/>
  <c r="HB18" i="32"/>
  <c r="HC18" i="32"/>
  <c r="HD18" i="32"/>
  <c r="HE18" i="32"/>
  <c r="HF18" i="32"/>
  <c r="HG18" i="32"/>
  <c r="HH18" i="32"/>
  <c r="HI18" i="32"/>
  <c r="HJ18" i="32"/>
  <c r="HK18" i="32"/>
  <c r="HL18" i="32"/>
  <c r="HM18" i="32"/>
  <c r="HN18" i="32"/>
  <c r="HO18" i="32"/>
  <c r="HP18" i="32"/>
  <c r="HQ18" i="32"/>
  <c r="HR18" i="32"/>
  <c r="HS18" i="32"/>
  <c r="HT18" i="32"/>
  <c r="HU18" i="32"/>
  <c r="HV18" i="32"/>
  <c r="HW18" i="32"/>
  <c r="HX18" i="32"/>
  <c r="HY18" i="32"/>
  <c r="HZ18" i="32"/>
  <c r="IA18" i="32"/>
  <c r="IB18" i="32"/>
  <c r="IC18" i="32"/>
  <c r="ID18" i="32"/>
  <c r="IE18" i="32"/>
  <c r="IF18" i="32"/>
  <c r="IG18" i="32"/>
  <c r="IH18" i="32"/>
  <c r="II18" i="32"/>
  <c r="IJ18" i="32"/>
  <c r="IK18" i="32"/>
  <c r="IL18" i="32"/>
  <c r="IM18" i="32"/>
  <c r="IN18" i="32"/>
  <c r="IO18" i="32"/>
  <c r="IP18" i="32"/>
  <c r="IQ18" i="32"/>
  <c r="IR18" i="32"/>
  <c r="IS18" i="32"/>
  <c r="IT18" i="32"/>
  <c r="IU18" i="32"/>
  <c r="IV18" i="32"/>
  <c r="A17" i="32"/>
  <c r="B17" i="32"/>
  <c r="C17" i="32"/>
  <c r="D17" i="32"/>
  <c r="E17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Z17" i="32"/>
  <c r="AA17" i="32"/>
  <c r="AB17" i="32"/>
  <c r="AC17" i="32"/>
  <c r="AD17" i="32"/>
  <c r="AE17" i="32"/>
  <c r="AF17" i="32"/>
  <c r="AG17" i="32"/>
  <c r="AH17" i="32"/>
  <c r="AI17" i="32"/>
  <c r="AJ17" i="32"/>
  <c r="AK17" i="32"/>
  <c r="AL17" i="32"/>
  <c r="AM17" i="32"/>
  <c r="AN17" i="32"/>
  <c r="AO17" i="32"/>
  <c r="AP17" i="32"/>
  <c r="AQ17" i="32"/>
  <c r="AR17" i="32"/>
  <c r="AS17" i="32"/>
  <c r="AT17" i="32"/>
  <c r="AU17" i="32"/>
  <c r="AV17" i="32"/>
  <c r="AW17" i="32"/>
  <c r="AX17" i="32"/>
  <c r="AY17" i="32"/>
  <c r="AZ17" i="32"/>
  <c r="BA17" i="32"/>
  <c r="BB17" i="32"/>
  <c r="BC17" i="32"/>
  <c r="BD17" i="32"/>
  <c r="BE17" i="32"/>
  <c r="BF17" i="32"/>
  <c r="BG17" i="32"/>
  <c r="BH17" i="32"/>
  <c r="BI17" i="32"/>
  <c r="BJ17" i="32"/>
  <c r="BK17" i="32"/>
  <c r="BL17" i="32"/>
  <c r="BM17" i="32"/>
  <c r="BN17" i="32"/>
  <c r="BO17" i="32"/>
  <c r="BP17" i="32"/>
  <c r="BQ17" i="32"/>
  <c r="BR17" i="32"/>
  <c r="BS17" i="32"/>
  <c r="BT17" i="32"/>
  <c r="BU17" i="32"/>
  <c r="BV17" i="32"/>
  <c r="BW17" i="32"/>
  <c r="BX17" i="32"/>
  <c r="BY17" i="32"/>
  <c r="BZ17" i="32"/>
  <c r="CA17" i="32"/>
  <c r="CB17" i="32"/>
  <c r="CC17" i="32"/>
  <c r="CD17" i="32"/>
  <c r="CE17" i="32"/>
  <c r="CF17" i="32"/>
  <c r="CG17" i="32"/>
  <c r="CH17" i="32"/>
  <c r="CI17" i="32"/>
  <c r="CJ17" i="32"/>
  <c r="CK17" i="32"/>
  <c r="CL17" i="32"/>
  <c r="CM17" i="32"/>
  <c r="CN17" i="32"/>
  <c r="CO17" i="32"/>
  <c r="CP17" i="32"/>
  <c r="CQ17" i="32"/>
  <c r="CR17" i="32"/>
  <c r="CS17" i="32"/>
  <c r="CT17" i="32"/>
  <c r="CU17" i="32"/>
  <c r="CV17" i="32"/>
  <c r="CW17" i="32"/>
  <c r="CX17" i="32"/>
  <c r="CY17" i="32"/>
  <c r="CZ17" i="32"/>
  <c r="DA17" i="32"/>
  <c r="DB17" i="32"/>
  <c r="DC17" i="32"/>
  <c r="DD17" i="32"/>
  <c r="DE17" i="32"/>
  <c r="DF17" i="32"/>
  <c r="DG17" i="32"/>
  <c r="DH17" i="32"/>
  <c r="DI17" i="32"/>
  <c r="DJ17" i="32"/>
  <c r="DK17" i="32"/>
  <c r="DL17" i="32"/>
  <c r="DM17" i="32"/>
  <c r="DN17" i="32"/>
  <c r="DO17" i="32"/>
  <c r="DP17" i="32"/>
  <c r="DQ17" i="32"/>
  <c r="DR17" i="32"/>
  <c r="DS17" i="32"/>
  <c r="DT17" i="32"/>
  <c r="DU17" i="32"/>
  <c r="DV17" i="32"/>
  <c r="DW17" i="32"/>
  <c r="DX17" i="32"/>
  <c r="DY17" i="32"/>
  <c r="DZ17" i="32"/>
  <c r="EA17" i="32"/>
  <c r="EB17" i="32"/>
  <c r="EC17" i="32"/>
  <c r="ED17" i="32"/>
  <c r="EE17" i="32"/>
  <c r="EF17" i="32"/>
  <c r="EG17" i="32"/>
  <c r="EH17" i="32"/>
  <c r="EI17" i="32"/>
  <c r="EJ17" i="32"/>
  <c r="EK17" i="32"/>
  <c r="EL17" i="32"/>
  <c r="EM17" i="32"/>
  <c r="EN17" i="32"/>
  <c r="EO17" i="32"/>
  <c r="EP17" i="32"/>
  <c r="EQ17" i="32"/>
  <c r="ER17" i="32"/>
  <c r="ES17" i="32"/>
  <c r="ET17" i="32"/>
  <c r="EU17" i="32"/>
  <c r="EV17" i="32"/>
  <c r="EW17" i="32"/>
  <c r="EX17" i="32"/>
  <c r="EY17" i="32"/>
  <c r="EZ17" i="32"/>
  <c r="FA17" i="32"/>
  <c r="FB17" i="32"/>
  <c r="FC17" i="32"/>
  <c r="FD17" i="32"/>
  <c r="FE17" i="32"/>
  <c r="FF17" i="32"/>
  <c r="FG17" i="32"/>
  <c r="FH17" i="32"/>
  <c r="FI17" i="32"/>
  <c r="FJ17" i="32"/>
  <c r="FK17" i="32"/>
  <c r="FL17" i="32"/>
  <c r="FM17" i="32"/>
  <c r="FN17" i="32"/>
  <c r="FO17" i="32"/>
  <c r="FP17" i="32"/>
  <c r="FQ17" i="32"/>
  <c r="FR17" i="32"/>
  <c r="FS17" i="32"/>
  <c r="FT17" i="32"/>
  <c r="FU17" i="32"/>
  <c r="FV17" i="32"/>
  <c r="FW17" i="32"/>
  <c r="FX17" i="32"/>
  <c r="FY17" i="32"/>
  <c r="FZ17" i="32"/>
  <c r="GA17" i="32"/>
  <c r="GB17" i="32"/>
  <c r="GC17" i="32"/>
  <c r="GD17" i="32"/>
  <c r="GE17" i="32"/>
  <c r="GF17" i="32"/>
  <c r="GG17" i="32"/>
  <c r="GH17" i="32"/>
  <c r="GI17" i="32"/>
  <c r="GJ17" i="32"/>
  <c r="GK17" i="32"/>
  <c r="GL17" i="32"/>
  <c r="GM17" i="32"/>
  <c r="GN17" i="32"/>
  <c r="GO17" i="32"/>
  <c r="GP17" i="32"/>
  <c r="GQ17" i="32"/>
  <c r="GR17" i="32"/>
  <c r="GS17" i="32"/>
  <c r="GT17" i="32"/>
  <c r="GU17" i="32"/>
  <c r="GV17" i="32"/>
  <c r="GW17" i="32"/>
  <c r="GX17" i="32"/>
  <c r="GY17" i="32"/>
  <c r="GZ17" i="32"/>
  <c r="HA17" i="32"/>
  <c r="HB17" i="32"/>
  <c r="HC17" i="32"/>
  <c r="HD17" i="32"/>
  <c r="HE17" i="32"/>
  <c r="HF17" i="32"/>
  <c r="HG17" i="32"/>
  <c r="HH17" i="32"/>
  <c r="HI17" i="32"/>
  <c r="HJ17" i="32"/>
  <c r="HK17" i="32"/>
  <c r="HL17" i="32"/>
  <c r="HM17" i="32"/>
  <c r="HN17" i="32"/>
  <c r="HO17" i="32"/>
  <c r="HP17" i="32"/>
  <c r="HQ17" i="32"/>
  <c r="HR17" i="32"/>
  <c r="HS17" i="32"/>
  <c r="HT17" i="32"/>
  <c r="HU17" i="32"/>
  <c r="HV17" i="32"/>
  <c r="HW17" i="32"/>
  <c r="HX17" i="32"/>
  <c r="HY17" i="32"/>
  <c r="HZ17" i="32"/>
  <c r="IA17" i="32"/>
  <c r="IB17" i="32"/>
  <c r="IC17" i="32"/>
  <c r="ID17" i="32"/>
  <c r="IE17" i="32"/>
  <c r="IF17" i="32"/>
  <c r="IG17" i="32"/>
  <c r="IH17" i="32"/>
  <c r="II17" i="32"/>
  <c r="IJ17" i="32"/>
  <c r="IK17" i="32"/>
  <c r="IL17" i="32"/>
  <c r="IM17" i="32"/>
  <c r="IN17" i="32"/>
  <c r="IO17" i="32"/>
  <c r="IP17" i="32"/>
  <c r="IQ17" i="32"/>
  <c r="IR17" i="32"/>
  <c r="IS17" i="32"/>
  <c r="IT17" i="32"/>
  <c r="IU17" i="32"/>
  <c r="IV17" i="32"/>
  <c r="A16" i="32"/>
  <c r="B16" i="32"/>
  <c r="C16" i="32"/>
  <c r="D16" i="32"/>
  <c r="E16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Z16" i="32"/>
  <c r="AA16" i="32"/>
  <c r="AB16" i="32"/>
  <c r="AC16" i="32"/>
  <c r="AD16" i="32"/>
  <c r="AE16" i="32"/>
  <c r="AF16" i="32"/>
  <c r="AG16" i="32"/>
  <c r="AH16" i="32"/>
  <c r="AI16" i="32"/>
  <c r="AJ16" i="32"/>
  <c r="AK16" i="32"/>
  <c r="AL16" i="32"/>
  <c r="AM16" i="32"/>
  <c r="AN16" i="32"/>
  <c r="AO16" i="32"/>
  <c r="AP16" i="32"/>
  <c r="AQ16" i="32"/>
  <c r="AR16" i="32"/>
  <c r="AS16" i="32"/>
  <c r="AT16" i="32"/>
  <c r="AU16" i="32"/>
  <c r="AV16" i="32"/>
  <c r="AW16" i="32"/>
  <c r="AX16" i="32"/>
  <c r="AY16" i="32"/>
  <c r="AZ16" i="32"/>
  <c r="BA16" i="32"/>
  <c r="BB16" i="32"/>
  <c r="BC16" i="32"/>
  <c r="BD16" i="32"/>
  <c r="BE16" i="32"/>
  <c r="BF16" i="32"/>
  <c r="BG16" i="32"/>
  <c r="BH16" i="32"/>
  <c r="BI16" i="32"/>
  <c r="BJ16" i="32"/>
  <c r="BK16" i="32"/>
  <c r="BL16" i="32"/>
  <c r="BM16" i="32"/>
  <c r="BN16" i="32"/>
  <c r="BO16" i="32"/>
  <c r="BP16" i="32"/>
  <c r="BQ16" i="32"/>
  <c r="BR16" i="32"/>
  <c r="BS16" i="32"/>
  <c r="BT16" i="32"/>
  <c r="BU16" i="32"/>
  <c r="BV16" i="32"/>
  <c r="BW16" i="32"/>
  <c r="BX16" i="32"/>
  <c r="BY16" i="32"/>
  <c r="BZ16" i="32"/>
  <c r="CA16" i="32"/>
  <c r="CB16" i="32"/>
  <c r="CC16" i="32"/>
  <c r="CD16" i="32"/>
  <c r="CE16" i="32"/>
  <c r="CF16" i="32"/>
  <c r="CG16" i="32"/>
  <c r="CH16" i="32"/>
  <c r="CI16" i="32"/>
  <c r="CJ16" i="32"/>
  <c r="CK16" i="32"/>
  <c r="CL16" i="32"/>
  <c r="CM16" i="32"/>
  <c r="CN16" i="32"/>
  <c r="CO16" i="32"/>
  <c r="CP16" i="32"/>
  <c r="CQ16" i="32"/>
  <c r="CR16" i="32"/>
  <c r="CS16" i="32"/>
  <c r="CT16" i="32"/>
  <c r="CU16" i="32"/>
  <c r="CV16" i="32"/>
  <c r="CW16" i="32"/>
  <c r="CX16" i="32"/>
  <c r="CY16" i="32"/>
  <c r="CZ16" i="32"/>
  <c r="DA16" i="32"/>
  <c r="DB16" i="32"/>
  <c r="DC16" i="32"/>
  <c r="DD16" i="32"/>
  <c r="DE16" i="32"/>
  <c r="DF16" i="32"/>
  <c r="DG16" i="32"/>
  <c r="DH16" i="32"/>
  <c r="DI16" i="32"/>
  <c r="DJ16" i="32"/>
  <c r="DK16" i="32"/>
  <c r="DL16" i="32"/>
  <c r="DM16" i="32"/>
  <c r="DN16" i="32"/>
  <c r="DO16" i="32"/>
  <c r="DP16" i="32"/>
  <c r="DQ16" i="32"/>
  <c r="DR16" i="32"/>
  <c r="DS16" i="32"/>
  <c r="DT16" i="32"/>
  <c r="DU16" i="32"/>
  <c r="DV16" i="32"/>
  <c r="DW16" i="32"/>
  <c r="DX16" i="32"/>
  <c r="DY16" i="32"/>
  <c r="DZ16" i="32"/>
  <c r="EA16" i="32"/>
  <c r="EB16" i="32"/>
  <c r="EC16" i="32"/>
  <c r="ED16" i="32"/>
  <c r="EE16" i="32"/>
  <c r="EF16" i="32"/>
  <c r="EG16" i="32"/>
  <c r="EH16" i="32"/>
  <c r="EI16" i="32"/>
  <c r="EJ16" i="32"/>
  <c r="EK16" i="32"/>
  <c r="EL16" i="32"/>
  <c r="EM16" i="32"/>
  <c r="EN16" i="32"/>
  <c r="EO16" i="32"/>
  <c r="EP16" i="32"/>
  <c r="EQ16" i="32"/>
  <c r="ER16" i="32"/>
  <c r="ES16" i="32"/>
  <c r="ET16" i="32"/>
  <c r="EU16" i="32"/>
  <c r="EV16" i="32"/>
  <c r="EW16" i="32"/>
  <c r="EX16" i="32"/>
  <c r="EY16" i="32"/>
  <c r="EZ16" i="32"/>
  <c r="FA16" i="32"/>
  <c r="FB16" i="32"/>
  <c r="FC16" i="32"/>
  <c r="FD16" i="32"/>
  <c r="FE16" i="32"/>
  <c r="FF16" i="32"/>
  <c r="FG16" i="32"/>
  <c r="FH16" i="32"/>
  <c r="FI16" i="32"/>
  <c r="FJ16" i="32"/>
  <c r="FK16" i="32"/>
  <c r="FL16" i="32"/>
  <c r="FM16" i="32"/>
  <c r="FN16" i="32"/>
  <c r="FO16" i="32"/>
  <c r="FP16" i="32"/>
  <c r="FQ16" i="32"/>
  <c r="FR16" i="32"/>
  <c r="FS16" i="32"/>
  <c r="FT16" i="32"/>
  <c r="FU16" i="32"/>
  <c r="FV16" i="32"/>
  <c r="FW16" i="32"/>
  <c r="FX16" i="32"/>
  <c r="FY16" i="32"/>
  <c r="FZ16" i="32"/>
  <c r="GA16" i="32"/>
  <c r="GB16" i="32"/>
  <c r="GC16" i="32"/>
  <c r="GD16" i="32"/>
  <c r="GE16" i="32"/>
  <c r="GF16" i="32"/>
  <c r="GG16" i="32"/>
  <c r="GH16" i="32"/>
  <c r="GI16" i="32"/>
  <c r="GJ16" i="32"/>
  <c r="GK16" i="32"/>
  <c r="GL16" i="32"/>
  <c r="GM16" i="32"/>
  <c r="GN16" i="32"/>
  <c r="GO16" i="32"/>
  <c r="GP16" i="32"/>
  <c r="GQ16" i="32"/>
  <c r="GR16" i="32"/>
  <c r="GS16" i="32"/>
  <c r="GT16" i="32"/>
  <c r="GU16" i="32"/>
  <c r="GV16" i="32"/>
  <c r="GW16" i="32"/>
  <c r="GX16" i="32"/>
  <c r="GY16" i="32"/>
  <c r="GZ16" i="32"/>
  <c r="HA16" i="32"/>
  <c r="HB16" i="32"/>
  <c r="HC16" i="32"/>
  <c r="HD16" i="32"/>
  <c r="HE16" i="32"/>
  <c r="HF16" i="32"/>
  <c r="HG16" i="32"/>
  <c r="HH16" i="32"/>
  <c r="HI16" i="32"/>
  <c r="HJ16" i="32"/>
  <c r="HK16" i="32"/>
  <c r="HL16" i="32"/>
  <c r="HM16" i="32"/>
  <c r="HN16" i="32"/>
  <c r="HO16" i="32"/>
  <c r="HP16" i="32"/>
  <c r="HQ16" i="32"/>
  <c r="HR16" i="32"/>
  <c r="HS16" i="32"/>
  <c r="HT16" i="32"/>
  <c r="HU16" i="32"/>
  <c r="HV16" i="32"/>
  <c r="HW16" i="32"/>
  <c r="HX16" i="32"/>
  <c r="HY16" i="32"/>
  <c r="HZ16" i="32"/>
  <c r="IA16" i="32"/>
  <c r="IB16" i="32"/>
  <c r="IC16" i="32"/>
  <c r="ID16" i="32"/>
  <c r="IE16" i="32"/>
  <c r="IF16" i="32"/>
  <c r="IG16" i="32"/>
  <c r="IH16" i="32"/>
  <c r="II16" i="32"/>
  <c r="IJ16" i="32"/>
  <c r="IK16" i="32"/>
  <c r="IL16" i="32"/>
  <c r="IM16" i="32"/>
  <c r="IN16" i="32"/>
  <c r="IO16" i="32"/>
  <c r="IP16" i="32"/>
  <c r="IQ16" i="32"/>
  <c r="IR16" i="32"/>
  <c r="IS16" i="32"/>
  <c r="IT16" i="32"/>
  <c r="IU16" i="32"/>
  <c r="IV16" i="32"/>
  <c r="A15" i="32"/>
  <c r="B15" i="32"/>
  <c r="C15" i="32"/>
  <c r="D15" i="32"/>
  <c r="E15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Z15" i="32"/>
  <c r="AA15" i="32"/>
  <c r="AB15" i="32"/>
  <c r="AC15" i="32"/>
  <c r="AD15" i="32"/>
  <c r="AE15" i="32"/>
  <c r="AF15" i="32"/>
  <c r="AG15" i="32"/>
  <c r="AH15" i="32"/>
  <c r="AI15" i="32"/>
  <c r="AJ15" i="32"/>
  <c r="AK15" i="32"/>
  <c r="AL15" i="32"/>
  <c r="AM15" i="32"/>
  <c r="AN15" i="32"/>
  <c r="AO15" i="32"/>
  <c r="AP15" i="32"/>
  <c r="AQ15" i="32"/>
  <c r="AR15" i="32"/>
  <c r="AS15" i="32"/>
  <c r="AT15" i="32"/>
  <c r="AU15" i="32"/>
  <c r="AV15" i="32"/>
  <c r="AW15" i="32"/>
  <c r="AX15" i="32"/>
  <c r="AY15" i="32"/>
  <c r="AZ15" i="32"/>
  <c r="BA15" i="32"/>
  <c r="BB15" i="32"/>
  <c r="BC15" i="32"/>
  <c r="BD15" i="32"/>
  <c r="BE15" i="32"/>
  <c r="BF15" i="32"/>
  <c r="BG15" i="32"/>
  <c r="BH15" i="32"/>
  <c r="BI15" i="32"/>
  <c r="BJ15" i="32"/>
  <c r="BK15" i="32"/>
  <c r="BL15" i="32"/>
  <c r="BM15" i="32"/>
  <c r="BN15" i="32"/>
  <c r="BO15" i="32"/>
  <c r="BP15" i="32"/>
  <c r="BQ15" i="32"/>
  <c r="BR15" i="32"/>
  <c r="BS15" i="32"/>
  <c r="BT15" i="32"/>
  <c r="BU15" i="32"/>
  <c r="BV15" i="32"/>
  <c r="BW15" i="32"/>
  <c r="BX15" i="32"/>
  <c r="BY15" i="32"/>
  <c r="BZ15" i="32"/>
  <c r="CA15" i="32"/>
  <c r="CB15" i="32"/>
  <c r="CC15" i="32"/>
  <c r="CD15" i="32"/>
  <c r="CE15" i="32"/>
  <c r="CF15" i="32"/>
  <c r="CG15" i="32"/>
  <c r="CH15" i="32"/>
  <c r="CI15" i="32"/>
  <c r="CJ15" i="32"/>
  <c r="CK15" i="32"/>
  <c r="CL15" i="32"/>
  <c r="CM15" i="32"/>
  <c r="CN15" i="32"/>
  <c r="CO15" i="32"/>
  <c r="CP15" i="32"/>
  <c r="CQ15" i="32"/>
  <c r="CR15" i="32"/>
  <c r="CS15" i="32"/>
  <c r="CT15" i="32"/>
  <c r="CU15" i="32"/>
  <c r="CV15" i="32"/>
  <c r="CW15" i="32"/>
  <c r="CX15" i="32"/>
  <c r="CY15" i="32"/>
  <c r="CZ15" i="32"/>
  <c r="DA15" i="32"/>
  <c r="DB15" i="32"/>
  <c r="DC15" i="32"/>
  <c r="DD15" i="32"/>
  <c r="DE15" i="32"/>
  <c r="DF15" i="32"/>
  <c r="DG15" i="32"/>
  <c r="DH15" i="32"/>
  <c r="DI15" i="32"/>
  <c r="DJ15" i="32"/>
  <c r="DK15" i="32"/>
  <c r="DL15" i="32"/>
  <c r="DM15" i="32"/>
  <c r="DN15" i="32"/>
  <c r="DO15" i="32"/>
  <c r="DP15" i="32"/>
  <c r="DQ15" i="32"/>
  <c r="DR15" i="32"/>
  <c r="DS15" i="32"/>
  <c r="DT15" i="32"/>
  <c r="DU15" i="32"/>
  <c r="DV15" i="32"/>
  <c r="DW15" i="32"/>
  <c r="DX15" i="32"/>
  <c r="DY15" i="32"/>
  <c r="DZ15" i="32"/>
  <c r="EA15" i="32"/>
  <c r="EB15" i="32"/>
  <c r="EC15" i="32"/>
  <c r="ED15" i="32"/>
  <c r="EE15" i="32"/>
  <c r="EF15" i="32"/>
  <c r="EG15" i="32"/>
  <c r="EH15" i="32"/>
  <c r="EI15" i="32"/>
  <c r="EJ15" i="32"/>
  <c r="EK15" i="32"/>
  <c r="EL15" i="32"/>
  <c r="EM15" i="32"/>
  <c r="EN15" i="32"/>
  <c r="EO15" i="32"/>
  <c r="EP15" i="32"/>
  <c r="EQ15" i="32"/>
  <c r="ER15" i="32"/>
  <c r="ES15" i="32"/>
  <c r="ET15" i="32"/>
  <c r="EU15" i="32"/>
  <c r="EV15" i="32"/>
  <c r="EW15" i="32"/>
  <c r="EX15" i="32"/>
  <c r="EY15" i="32"/>
  <c r="EZ15" i="32"/>
  <c r="FA15" i="32"/>
  <c r="FB15" i="32"/>
  <c r="FC15" i="32"/>
  <c r="FD15" i="32"/>
  <c r="FE15" i="32"/>
  <c r="FF15" i="32"/>
  <c r="FG15" i="32"/>
  <c r="FH15" i="32"/>
  <c r="FI15" i="32"/>
  <c r="FJ15" i="32"/>
  <c r="FK15" i="32"/>
  <c r="FL15" i="32"/>
  <c r="FM15" i="32"/>
  <c r="FN15" i="32"/>
  <c r="FO15" i="32"/>
  <c r="FP15" i="32"/>
  <c r="FQ15" i="32"/>
  <c r="FR15" i="32"/>
  <c r="FS15" i="32"/>
  <c r="FT15" i="32"/>
  <c r="FU15" i="32"/>
  <c r="FV15" i="32"/>
  <c r="FW15" i="32"/>
  <c r="FX15" i="32"/>
  <c r="FY15" i="32"/>
  <c r="FZ15" i="32"/>
  <c r="GA15" i="32"/>
  <c r="GB15" i="32"/>
  <c r="GC15" i="32"/>
  <c r="GD15" i="32"/>
  <c r="GE15" i="32"/>
  <c r="GF15" i="32"/>
  <c r="GG15" i="32"/>
  <c r="GH15" i="32"/>
  <c r="GI15" i="32"/>
  <c r="GJ15" i="32"/>
  <c r="GK15" i="32"/>
  <c r="GL15" i="32"/>
  <c r="GM15" i="32"/>
  <c r="GN15" i="32"/>
  <c r="GO15" i="32"/>
  <c r="GP15" i="32"/>
  <c r="GQ15" i="32"/>
  <c r="GR15" i="32"/>
  <c r="GS15" i="32"/>
  <c r="GT15" i="32"/>
  <c r="GU15" i="32"/>
  <c r="GV15" i="32"/>
  <c r="GW15" i="32"/>
  <c r="GX15" i="32"/>
  <c r="GY15" i="32"/>
  <c r="GZ15" i="32"/>
  <c r="HA15" i="32"/>
  <c r="HB15" i="32"/>
  <c r="HC15" i="32"/>
  <c r="HD15" i="32"/>
  <c r="HE15" i="32"/>
  <c r="HF15" i="32"/>
  <c r="HG15" i="32"/>
  <c r="HH15" i="32"/>
  <c r="HI15" i="32"/>
  <c r="HJ15" i="32"/>
  <c r="HK15" i="32"/>
  <c r="HL15" i="32"/>
  <c r="HM15" i="32"/>
  <c r="HN15" i="32"/>
  <c r="HO15" i="32"/>
  <c r="HP15" i="32"/>
  <c r="HQ15" i="32"/>
  <c r="HR15" i="32"/>
  <c r="HS15" i="32"/>
  <c r="HT15" i="32"/>
  <c r="HU15" i="32"/>
  <c r="HV15" i="32"/>
  <c r="HW15" i="32"/>
  <c r="HX15" i="32"/>
  <c r="HY15" i="32"/>
  <c r="HZ15" i="32"/>
  <c r="IA15" i="32"/>
  <c r="IB15" i="32"/>
  <c r="IC15" i="32"/>
  <c r="ID15" i="32"/>
  <c r="IE15" i="32"/>
  <c r="IF15" i="32"/>
  <c r="IG15" i="32"/>
  <c r="IH15" i="32"/>
  <c r="II15" i="32"/>
  <c r="IJ15" i="32"/>
  <c r="IK15" i="32"/>
  <c r="IL15" i="32"/>
  <c r="IM15" i="32"/>
  <c r="IN15" i="32"/>
  <c r="IO15" i="32"/>
  <c r="IP15" i="32"/>
  <c r="IQ15" i="32"/>
  <c r="IR15" i="32"/>
  <c r="IS15" i="32"/>
  <c r="IT15" i="32"/>
  <c r="IU15" i="32"/>
  <c r="IV15" i="32"/>
  <c r="A14" i="32"/>
  <c r="B14" i="32"/>
  <c r="C14" i="32"/>
  <c r="D14" i="32"/>
  <c r="E14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AJ14" i="32"/>
  <c r="AK14" i="32"/>
  <c r="AL14" i="32"/>
  <c r="AM14" i="32"/>
  <c r="AN14" i="32"/>
  <c r="AO14" i="32"/>
  <c r="AP14" i="32"/>
  <c r="AQ14" i="32"/>
  <c r="AR14" i="32"/>
  <c r="AS14" i="32"/>
  <c r="AT14" i="32"/>
  <c r="AU14" i="32"/>
  <c r="AV14" i="32"/>
  <c r="AW14" i="32"/>
  <c r="AX14" i="32"/>
  <c r="AY14" i="32"/>
  <c r="AZ14" i="32"/>
  <c r="BA14" i="32"/>
  <c r="BB14" i="32"/>
  <c r="BC14" i="32"/>
  <c r="BD14" i="32"/>
  <c r="BE14" i="32"/>
  <c r="BF14" i="32"/>
  <c r="BG14" i="32"/>
  <c r="BH14" i="32"/>
  <c r="BI14" i="32"/>
  <c r="BJ14" i="32"/>
  <c r="BK14" i="32"/>
  <c r="BL14" i="32"/>
  <c r="BM14" i="32"/>
  <c r="BN14" i="32"/>
  <c r="BO14" i="32"/>
  <c r="BP14" i="32"/>
  <c r="BQ14" i="32"/>
  <c r="BR14" i="32"/>
  <c r="BS14" i="32"/>
  <c r="BT14" i="32"/>
  <c r="BU14" i="32"/>
  <c r="BV14" i="32"/>
  <c r="BW14" i="32"/>
  <c r="BX14" i="32"/>
  <c r="BY14" i="32"/>
  <c r="BZ14" i="32"/>
  <c r="CA14" i="32"/>
  <c r="CB14" i="32"/>
  <c r="CC14" i="32"/>
  <c r="CD14" i="32"/>
  <c r="CE14" i="32"/>
  <c r="CF14" i="32"/>
  <c r="CG14" i="32"/>
  <c r="CH14" i="32"/>
  <c r="CI14" i="32"/>
  <c r="CJ14" i="32"/>
  <c r="CK14" i="32"/>
  <c r="CL14" i="32"/>
  <c r="CM14" i="32"/>
  <c r="CN14" i="32"/>
  <c r="CO14" i="32"/>
  <c r="CP14" i="32"/>
  <c r="CQ14" i="32"/>
  <c r="CR14" i="32"/>
  <c r="CS14" i="32"/>
  <c r="CT14" i="32"/>
  <c r="CU14" i="32"/>
  <c r="CV14" i="32"/>
  <c r="CW14" i="32"/>
  <c r="CX14" i="32"/>
  <c r="CY14" i="32"/>
  <c r="CZ14" i="32"/>
  <c r="DA14" i="32"/>
  <c r="DB14" i="32"/>
  <c r="DC14" i="32"/>
  <c r="DD14" i="32"/>
  <c r="DE14" i="32"/>
  <c r="DF14" i="32"/>
  <c r="DG14" i="32"/>
  <c r="DH14" i="32"/>
  <c r="DI14" i="32"/>
  <c r="DJ14" i="32"/>
  <c r="DK14" i="32"/>
  <c r="DL14" i="32"/>
  <c r="DM14" i="32"/>
  <c r="DN14" i="32"/>
  <c r="DO14" i="32"/>
  <c r="DP14" i="32"/>
  <c r="DQ14" i="32"/>
  <c r="DR14" i="32"/>
  <c r="DS14" i="32"/>
  <c r="DT14" i="32"/>
  <c r="DU14" i="32"/>
  <c r="DV14" i="32"/>
  <c r="DW14" i="32"/>
  <c r="DX14" i="32"/>
  <c r="DY14" i="32"/>
  <c r="DZ14" i="32"/>
  <c r="EA14" i="32"/>
  <c r="EB14" i="32"/>
  <c r="EC14" i="32"/>
  <c r="ED14" i="32"/>
  <c r="EE14" i="32"/>
  <c r="EF14" i="32"/>
  <c r="EG14" i="32"/>
  <c r="EH14" i="32"/>
  <c r="EI14" i="32"/>
  <c r="EJ14" i="32"/>
  <c r="EK14" i="32"/>
  <c r="EL14" i="32"/>
  <c r="EM14" i="32"/>
  <c r="EN14" i="32"/>
  <c r="EO14" i="32"/>
  <c r="EP14" i="32"/>
  <c r="EQ14" i="32"/>
  <c r="ER14" i="32"/>
  <c r="ES14" i="32"/>
  <c r="ET14" i="32"/>
  <c r="EU14" i="32"/>
  <c r="EV14" i="32"/>
  <c r="EW14" i="32"/>
  <c r="EX14" i="32"/>
  <c r="EY14" i="32"/>
  <c r="EZ14" i="32"/>
  <c r="FA14" i="32"/>
  <c r="FB14" i="32"/>
  <c r="FC14" i="32"/>
  <c r="FD14" i="32"/>
  <c r="FE14" i="32"/>
  <c r="FF14" i="32"/>
  <c r="FG14" i="32"/>
  <c r="FH14" i="32"/>
  <c r="FI14" i="32"/>
  <c r="FJ14" i="32"/>
  <c r="FK14" i="32"/>
  <c r="FL14" i="32"/>
  <c r="FM14" i="32"/>
  <c r="FN14" i="32"/>
  <c r="FO14" i="32"/>
  <c r="FP14" i="32"/>
  <c r="FQ14" i="32"/>
  <c r="FR14" i="32"/>
  <c r="FS14" i="32"/>
  <c r="FT14" i="32"/>
  <c r="FU14" i="32"/>
  <c r="FV14" i="32"/>
  <c r="FW14" i="32"/>
  <c r="FX14" i="32"/>
  <c r="FY14" i="32"/>
  <c r="FZ14" i="32"/>
  <c r="GA14" i="32"/>
  <c r="GB14" i="32"/>
  <c r="GC14" i="32"/>
  <c r="GD14" i="32"/>
  <c r="GE14" i="32"/>
  <c r="GF14" i="32"/>
  <c r="GG14" i="32"/>
  <c r="GH14" i="32"/>
  <c r="GI14" i="32"/>
  <c r="GJ14" i="32"/>
  <c r="GK14" i="32"/>
  <c r="GL14" i="32"/>
  <c r="GM14" i="32"/>
  <c r="GN14" i="32"/>
  <c r="GO14" i="32"/>
  <c r="GP14" i="32"/>
  <c r="GQ14" i="32"/>
  <c r="GR14" i="32"/>
  <c r="GS14" i="32"/>
  <c r="GT14" i="32"/>
  <c r="GU14" i="32"/>
  <c r="GV14" i="32"/>
  <c r="GW14" i="32"/>
  <c r="GX14" i="32"/>
  <c r="GY14" i="32"/>
  <c r="GZ14" i="32"/>
  <c r="HA14" i="32"/>
  <c r="HB14" i="32"/>
  <c r="HC14" i="32"/>
  <c r="HD14" i="32"/>
  <c r="HE14" i="32"/>
  <c r="HF14" i="32"/>
  <c r="HG14" i="32"/>
  <c r="HH14" i="32"/>
  <c r="HI14" i="32"/>
  <c r="HJ14" i="32"/>
  <c r="HK14" i="32"/>
  <c r="HL14" i="32"/>
  <c r="HM14" i="32"/>
  <c r="HN14" i="32"/>
  <c r="HO14" i="32"/>
  <c r="HP14" i="32"/>
  <c r="HQ14" i="32"/>
  <c r="HR14" i="32"/>
  <c r="HS14" i="32"/>
  <c r="HT14" i="32"/>
  <c r="HU14" i="32"/>
  <c r="HV14" i="32"/>
  <c r="HW14" i="32"/>
  <c r="HX14" i="32"/>
  <c r="HY14" i="32"/>
  <c r="HZ14" i="32"/>
  <c r="IA14" i="32"/>
  <c r="IB14" i="32"/>
  <c r="IC14" i="32"/>
  <c r="ID14" i="32"/>
  <c r="IE14" i="32"/>
  <c r="IF14" i="32"/>
  <c r="IG14" i="32"/>
  <c r="IH14" i="32"/>
  <c r="II14" i="32"/>
  <c r="IJ14" i="32"/>
  <c r="IK14" i="32"/>
  <c r="IL14" i="32"/>
  <c r="IM14" i="32"/>
  <c r="IN14" i="32"/>
  <c r="IO14" i="32"/>
  <c r="IP14" i="32"/>
  <c r="IQ14" i="32"/>
  <c r="IR14" i="32"/>
  <c r="IS14" i="32"/>
  <c r="IT14" i="32"/>
  <c r="IU14" i="32"/>
  <c r="IV14" i="32"/>
  <c r="A13" i="32"/>
  <c r="B13" i="32"/>
  <c r="C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Z13" i="32"/>
  <c r="AA13" i="32"/>
  <c r="AB13" i="32"/>
  <c r="AC13" i="32"/>
  <c r="AD13" i="32"/>
  <c r="AE13" i="32"/>
  <c r="AF13" i="32"/>
  <c r="AG13" i="32"/>
  <c r="AH13" i="32"/>
  <c r="AI13" i="32"/>
  <c r="AJ13" i="32"/>
  <c r="AK13" i="32"/>
  <c r="AL13" i="32"/>
  <c r="AM13" i="32"/>
  <c r="AN13" i="32"/>
  <c r="AO13" i="32"/>
  <c r="AP13" i="32"/>
  <c r="AQ13" i="32"/>
  <c r="AR13" i="32"/>
  <c r="AS13" i="32"/>
  <c r="AT13" i="32"/>
  <c r="AU13" i="32"/>
  <c r="AV13" i="32"/>
  <c r="AW13" i="32"/>
  <c r="AX13" i="32"/>
  <c r="AY13" i="32"/>
  <c r="AZ13" i="32"/>
  <c r="BA13" i="32"/>
  <c r="BB13" i="32"/>
  <c r="BC13" i="32"/>
  <c r="BD13" i="32"/>
  <c r="BE13" i="32"/>
  <c r="BF13" i="32"/>
  <c r="BG13" i="32"/>
  <c r="BH13" i="32"/>
  <c r="BI13" i="32"/>
  <c r="BJ13" i="32"/>
  <c r="BK13" i="32"/>
  <c r="BL13" i="32"/>
  <c r="BM13" i="32"/>
  <c r="BN13" i="32"/>
  <c r="BO13" i="32"/>
  <c r="BP13" i="32"/>
  <c r="BQ13" i="32"/>
  <c r="BR13" i="32"/>
  <c r="BS13" i="32"/>
  <c r="BT13" i="32"/>
  <c r="BU13" i="32"/>
  <c r="BV13" i="32"/>
  <c r="BW13" i="32"/>
  <c r="BX13" i="32"/>
  <c r="BY13" i="32"/>
  <c r="BZ13" i="32"/>
  <c r="CA13" i="32"/>
  <c r="CB13" i="32"/>
  <c r="CC13" i="32"/>
  <c r="CD13" i="32"/>
  <c r="CE13" i="32"/>
  <c r="CF13" i="32"/>
  <c r="CG13" i="32"/>
  <c r="CH13" i="32"/>
  <c r="CI13" i="32"/>
  <c r="CJ13" i="32"/>
  <c r="CK13" i="32"/>
  <c r="CL13" i="32"/>
  <c r="CM13" i="32"/>
  <c r="CN13" i="32"/>
  <c r="CO13" i="32"/>
  <c r="CP13" i="32"/>
  <c r="CQ13" i="32"/>
  <c r="CR13" i="32"/>
  <c r="CS13" i="32"/>
  <c r="CT13" i="32"/>
  <c r="CU13" i="32"/>
  <c r="CV13" i="32"/>
  <c r="CW13" i="32"/>
  <c r="CX13" i="32"/>
  <c r="CY13" i="32"/>
  <c r="CZ13" i="32"/>
  <c r="DA13" i="32"/>
  <c r="DB13" i="32"/>
  <c r="DC13" i="32"/>
  <c r="DD13" i="32"/>
  <c r="DE13" i="32"/>
  <c r="DF13" i="32"/>
  <c r="DG13" i="32"/>
  <c r="DH13" i="32"/>
  <c r="DI13" i="32"/>
  <c r="DJ13" i="32"/>
  <c r="DK13" i="32"/>
  <c r="DL13" i="32"/>
  <c r="DM13" i="32"/>
  <c r="DN13" i="32"/>
  <c r="DO13" i="32"/>
  <c r="DP13" i="32"/>
  <c r="DQ13" i="32"/>
  <c r="DR13" i="32"/>
  <c r="DS13" i="32"/>
  <c r="DT13" i="32"/>
  <c r="DU13" i="32"/>
  <c r="DV13" i="32"/>
  <c r="DW13" i="32"/>
  <c r="DX13" i="32"/>
  <c r="DY13" i="32"/>
  <c r="DZ13" i="32"/>
  <c r="EA13" i="32"/>
  <c r="EB13" i="32"/>
  <c r="EC13" i="32"/>
  <c r="ED13" i="32"/>
  <c r="EE13" i="32"/>
  <c r="EF13" i="32"/>
  <c r="EG13" i="32"/>
  <c r="EH13" i="32"/>
  <c r="EI13" i="32"/>
  <c r="EJ13" i="32"/>
  <c r="EK13" i="32"/>
  <c r="EL13" i="32"/>
  <c r="EM13" i="32"/>
  <c r="EN13" i="32"/>
  <c r="EO13" i="32"/>
  <c r="EP13" i="32"/>
  <c r="EQ13" i="32"/>
  <c r="ER13" i="32"/>
  <c r="ES13" i="32"/>
  <c r="ET13" i="32"/>
  <c r="EU13" i="32"/>
  <c r="EV13" i="32"/>
  <c r="EW13" i="32"/>
  <c r="EX13" i="32"/>
  <c r="EY13" i="32"/>
  <c r="EZ13" i="32"/>
  <c r="FA13" i="32"/>
  <c r="FB13" i="32"/>
  <c r="FC13" i="32"/>
  <c r="FD13" i="32"/>
  <c r="FE13" i="32"/>
  <c r="FF13" i="32"/>
  <c r="FG13" i="32"/>
  <c r="FH13" i="32"/>
  <c r="FI13" i="32"/>
  <c r="FJ13" i="32"/>
  <c r="FK13" i="32"/>
  <c r="FL13" i="32"/>
  <c r="FM13" i="32"/>
  <c r="FN13" i="32"/>
  <c r="FO13" i="32"/>
  <c r="FP13" i="32"/>
  <c r="FQ13" i="32"/>
  <c r="FR13" i="32"/>
  <c r="FS13" i="32"/>
  <c r="FT13" i="32"/>
  <c r="FU13" i="32"/>
  <c r="FV13" i="32"/>
  <c r="FW13" i="32"/>
  <c r="FX13" i="32"/>
  <c r="FY13" i="32"/>
  <c r="FZ13" i="32"/>
  <c r="GA13" i="32"/>
  <c r="GB13" i="32"/>
  <c r="GC13" i="32"/>
  <c r="GD13" i="32"/>
  <c r="GE13" i="32"/>
  <c r="GF13" i="32"/>
  <c r="GG13" i="32"/>
  <c r="GH13" i="32"/>
  <c r="GI13" i="32"/>
  <c r="GJ13" i="32"/>
  <c r="GK13" i="32"/>
  <c r="GL13" i="32"/>
  <c r="GM13" i="32"/>
  <c r="GN13" i="32"/>
  <c r="GO13" i="32"/>
  <c r="GP13" i="32"/>
  <c r="GQ13" i="32"/>
  <c r="GR13" i="32"/>
  <c r="GS13" i="32"/>
  <c r="GT13" i="32"/>
  <c r="GU13" i="32"/>
  <c r="GV13" i="32"/>
  <c r="GW13" i="32"/>
  <c r="GX13" i="32"/>
  <c r="GY13" i="32"/>
  <c r="GZ13" i="32"/>
  <c r="HA13" i="32"/>
  <c r="HB13" i="32"/>
  <c r="HC13" i="32"/>
  <c r="HD13" i="32"/>
  <c r="HE13" i="32"/>
  <c r="HF13" i="32"/>
  <c r="HG13" i="32"/>
  <c r="HH13" i="32"/>
  <c r="HI13" i="32"/>
  <c r="HJ13" i="32"/>
  <c r="HK13" i="32"/>
  <c r="HL13" i="32"/>
  <c r="HM13" i="32"/>
  <c r="HN13" i="32"/>
  <c r="HO13" i="32"/>
  <c r="HP13" i="32"/>
  <c r="HQ13" i="32"/>
  <c r="HR13" i="32"/>
  <c r="HS13" i="32"/>
  <c r="HT13" i="32"/>
  <c r="HU13" i="32"/>
  <c r="HV13" i="32"/>
  <c r="HW13" i="32"/>
  <c r="HX13" i="32"/>
  <c r="HY13" i="32"/>
  <c r="HZ13" i="32"/>
  <c r="IA13" i="32"/>
  <c r="IB13" i="32"/>
  <c r="IC13" i="32"/>
  <c r="ID13" i="32"/>
  <c r="IE13" i="32"/>
  <c r="IF13" i="32"/>
  <c r="IG13" i="32"/>
  <c r="IH13" i="32"/>
  <c r="II13" i="32"/>
  <c r="IJ13" i="32"/>
  <c r="IK13" i="32"/>
  <c r="IL13" i="32"/>
  <c r="IM13" i="32"/>
  <c r="IN13" i="32"/>
  <c r="IO13" i="32"/>
  <c r="IP13" i="32"/>
  <c r="IQ13" i="32"/>
  <c r="IR13" i="32"/>
  <c r="IS13" i="32"/>
  <c r="IT13" i="32"/>
  <c r="IU13" i="32"/>
  <c r="IV13" i="32"/>
  <c r="A12" i="32"/>
  <c r="B12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Z12" i="32"/>
  <c r="AA12" i="32"/>
  <c r="AB12" i="32"/>
  <c r="AC12" i="32"/>
  <c r="AD12" i="32"/>
  <c r="AE12" i="32"/>
  <c r="AF12" i="32"/>
  <c r="AG12" i="32"/>
  <c r="AH12" i="32"/>
  <c r="AI12" i="32"/>
  <c r="AJ12" i="32"/>
  <c r="AK12" i="32"/>
  <c r="AL12" i="32"/>
  <c r="AM12" i="32"/>
  <c r="AN12" i="32"/>
  <c r="AO12" i="32"/>
  <c r="AP12" i="32"/>
  <c r="AQ12" i="32"/>
  <c r="AR12" i="32"/>
  <c r="AS12" i="32"/>
  <c r="AT12" i="32"/>
  <c r="AU12" i="32"/>
  <c r="AV12" i="32"/>
  <c r="AW12" i="32"/>
  <c r="AX12" i="32"/>
  <c r="AY12" i="32"/>
  <c r="AZ12" i="32"/>
  <c r="BA12" i="32"/>
  <c r="BB12" i="32"/>
  <c r="BC12" i="32"/>
  <c r="BD12" i="32"/>
  <c r="BE12" i="32"/>
  <c r="BF12" i="32"/>
  <c r="BG12" i="32"/>
  <c r="BH12" i="32"/>
  <c r="BI12" i="32"/>
  <c r="BJ12" i="32"/>
  <c r="BK12" i="32"/>
  <c r="BL12" i="32"/>
  <c r="BM12" i="32"/>
  <c r="BN12" i="32"/>
  <c r="BO12" i="32"/>
  <c r="BP12" i="32"/>
  <c r="BQ12" i="32"/>
  <c r="BR12" i="32"/>
  <c r="BS12" i="32"/>
  <c r="BT12" i="32"/>
  <c r="BU12" i="32"/>
  <c r="BV12" i="32"/>
  <c r="BW12" i="32"/>
  <c r="BX12" i="32"/>
  <c r="BY12" i="32"/>
  <c r="BZ12" i="32"/>
  <c r="CA12" i="32"/>
  <c r="CB12" i="32"/>
  <c r="CC12" i="32"/>
  <c r="CD12" i="32"/>
  <c r="CE12" i="32"/>
  <c r="CF12" i="32"/>
  <c r="CG12" i="32"/>
  <c r="CH12" i="32"/>
  <c r="CI12" i="32"/>
  <c r="CJ12" i="32"/>
  <c r="CK12" i="32"/>
  <c r="CL12" i="32"/>
  <c r="CM12" i="32"/>
  <c r="CN12" i="32"/>
  <c r="CO12" i="32"/>
  <c r="CP12" i="32"/>
  <c r="CQ12" i="32"/>
  <c r="CR12" i="32"/>
  <c r="CS12" i="32"/>
  <c r="CT12" i="32"/>
  <c r="CU12" i="32"/>
  <c r="CV12" i="32"/>
  <c r="CW12" i="32"/>
  <c r="CX12" i="32"/>
  <c r="CY12" i="32"/>
  <c r="CZ12" i="32"/>
  <c r="DA12" i="32"/>
  <c r="DB12" i="32"/>
  <c r="DC12" i="32"/>
  <c r="DD12" i="32"/>
  <c r="DE12" i="32"/>
  <c r="DF12" i="32"/>
  <c r="DG12" i="32"/>
  <c r="DH12" i="32"/>
  <c r="DI12" i="32"/>
  <c r="DJ12" i="32"/>
  <c r="DK12" i="32"/>
  <c r="DL12" i="32"/>
  <c r="DM12" i="32"/>
  <c r="DN12" i="32"/>
  <c r="DO12" i="32"/>
  <c r="DP12" i="32"/>
  <c r="DQ12" i="32"/>
  <c r="DR12" i="32"/>
  <c r="DS12" i="32"/>
  <c r="DT12" i="32"/>
  <c r="DU12" i="32"/>
  <c r="DV12" i="32"/>
  <c r="DW12" i="32"/>
  <c r="DX12" i="32"/>
  <c r="DY12" i="32"/>
  <c r="DZ12" i="32"/>
  <c r="EA12" i="32"/>
  <c r="EB12" i="32"/>
  <c r="EC12" i="32"/>
  <c r="ED12" i="32"/>
  <c r="EE12" i="32"/>
  <c r="EF12" i="32"/>
  <c r="EG12" i="32"/>
  <c r="EH12" i="32"/>
  <c r="EI12" i="32"/>
  <c r="EJ12" i="32"/>
  <c r="EK12" i="32"/>
  <c r="EL12" i="32"/>
  <c r="EM12" i="32"/>
  <c r="EN12" i="32"/>
  <c r="EO12" i="32"/>
  <c r="EP12" i="32"/>
  <c r="EQ12" i="32"/>
  <c r="ER12" i="32"/>
  <c r="ES12" i="32"/>
  <c r="ET12" i="32"/>
  <c r="EU12" i="32"/>
  <c r="EV12" i="32"/>
  <c r="EW12" i="32"/>
  <c r="EX12" i="32"/>
  <c r="EY12" i="32"/>
  <c r="EZ12" i="32"/>
  <c r="FA12" i="32"/>
  <c r="FB12" i="32"/>
  <c r="FC12" i="32"/>
  <c r="FD12" i="32"/>
  <c r="FE12" i="32"/>
  <c r="FF12" i="32"/>
  <c r="FG12" i="32"/>
  <c r="FH12" i="32"/>
  <c r="FI12" i="32"/>
  <c r="FJ12" i="32"/>
  <c r="FK12" i="32"/>
  <c r="FL12" i="32"/>
  <c r="FM12" i="32"/>
  <c r="FN12" i="32"/>
  <c r="FO12" i="32"/>
  <c r="FP12" i="32"/>
  <c r="FQ12" i="32"/>
  <c r="FR12" i="32"/>
  <c r="FS12" i="32"/>
  <c r="FT12" i="32"/>
  <c r="FU12" i="32"/>
  <c r="FV12" i="32"/>
  <c r="FW12" i="32"/>
  <c r="FX12" i="32"/>
  <c r="FY12" i="32"/>
  <c r="FZ12" i="32"/>
  <c r="GA12" i="32"/>
  <c r="GB12" i="32"/>
  <c r="GC12" i="32"/>
  <c r="GD12" i="32"/>
  <c r="GE12" i="32"/>
  <c r="GF12" i="32"/>
  <c r="GG12" i="32"/>
  <c r="GH12" i="32"/>
  <c r="GI12" i="32"/>
  <c r="GJ12" i="32"/>
  <c r="GK12" i="32"/>
  <c r="GL12" i="32"/>
  <c r="GM12" i="32"/>
  <c r="GN12" i="32"/>
  <c r="GO12" i="32"/>
  <c r="GP12" i="32"/>
  <c r="GQ12" i="32"/>
  <c r="GR12" i="32"/>
  <c r="GS12" i="32"/>
  <c r="GT12" i="32"/>
  <c r="GU12" i="32"/>
  <c r="GV12" i="32"/>
  <c r="GW12" i="32"/>
  <c r="GX12" i="32"/>
  <c r="GY12" i="32"/>
  <c r="GZ12" i="32"/>
  <c r="HA12" i="32"/>
  <c r="HB12" i="32"/>
  <c r="HC12" i="32"/>
  <c r="HD12" i="32"/>
  <c r="HE12" i="32"/>
  <c r="HF12" i="32"/>
  <c r="HG12" i="32"/>
  <c r="HH12" i="32"/>
  <c r="HI12" i="32"/>
  <c r="HJ12" i="32"/>
  <c r="HK12" i="32"/>
  <c r="HL12" i="32"/>
  <c r="HM12" i="32"/>
  <c r="HN12" i="32"/>
  <c r="HO12" i="32"/>
  <c r="HP12" i="32"/>
  <c r="HQ12" i="32"/>
  <c r="HR12" i="32"/>
  <c r="HS12" i="32"/>
  <c r="HT12" i="32"/>
  <c r="HU12" i="32"/>
  <c r="HV12" i="32"/>
  <c r="HW12" i="32"/>
  <c r="HX12" i="32"/>
  <c r="HY12" i="32"/>
  <c r="HZ12" i="32"/>
  <c r="IA12" i="32"/>
  <c r="IB12" i="32"/>
  <c r="IC12" i="32"/>
  <c r="ID12" i="32"/>
  <c r="IE12" i="32"/>
  <c r="IF12" i="32"/>
  <c r="IG12" i="32"/>
  <c r="IH12" i="32"/>
  <c r="II12" i="32"/>
  <c r="IJ12" i="32"/>
  <c r="IK12" i="32"/>
  <c r="IL12" i="32"/>
  <c r="IM12" i="32"/>
  <c r="IN12" i="32"/>
  <c r="IO12" i="32"/>
  <c r="IP12" i="32"/>
  <c r="IQ12" i="32"/>
  <c r="IR12" i="32"/>
  <c r="IS12" i="32"/>
  <c r="IT12" i="32"/>
  <c r="IU12" i="32"/>
  <c r="IV12" i="32"/>
  <c r="A11" i="32"/>
  <c r="B11" i="32"/>
  <c r="C11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Z11" i="32"/>
  <c r="AA11" i="32"/>
  <c r="AB11" i="32"/>
  <c r="AC11" i="32"/>
  <c r="AD11" i="32"/>
  <c r="AE11" i="32"/>
  <c r="AF11" i="32"/>
  <c r="AG11" i="32"/>
  <c r="AH11" i="32"/>
  <c r="AI11" i="32"/>
  <c r="AJ11" i="32"/>
  <c r="AK11" i="32"/>
  <c r="AL11" i="32"/>
  <c r="AM11" i="32"/>
  <c r="AN11" i="32"/>
  <c r="AO11" i="32"/>
  <c r="AP11" i="32"/>
  <c r="AQ11" i="32"/>
  <c r="AR11" i="32"/>
  <c r="AS11" i="32"/>
  <c r="AT11" i="32"/>
  <c r="AU11" i="32"/>
  <c r="AV11" i="32"/>
  <c r="AW11" i="32"/>
  <c r="AX11" i="32"/>
  <c r="AY11" i="32"/>
  <c r="AZ11" i="32"/>
  <c r="BA11" i="32"/>
  <c r="BB11" i="32"/>
  <c r="BC11" i="32"/>
  <c r="BD11" i="32"/>
  <c r="BE11" i="32"/>
  <c r="BF11" i="32"/>
  <c r="BG11" i="32"/>
  <c r="BH11" i="32"/>
  <c r="BI11" i="32"/>
  <c r="BJ11" i="32"/>
  <c r="BK11" i="32"/>
  <c r="BL11" i="32"/>
  <c r="BM11" i="32"/>
  <c r="BN11" i="32"/>
  <c r="BO11" i="32"/>
  <c r="BP11" i="32"/>
  <c r="BQ11" i="32"/>
  <c r="BR11" i="32"/>
  <c r="BS11" i="32"/>
  <c r="BT11" i="32"/>
  <c r="BU11" i="32"/>
  <c r="BV11" i="32"/>
  <c r="BW11" i="32"/>
  <c r="BX11" i="32"/>
  <c r="BY11" i="32"/>
  <c r="BZ11" i="32"/>
  <c r="CA11" i="32"/>
  <c r="CB11" i="32"/>
  <c r="CC11" i="32"/>
  <c r="CD11" i="32"/>
  <c r="CE11" i="32"/>
  <c r="CF11" i="32"/>
  <c r="CG11" i="32"/>
  <c r="CH11" i="32"/>
  <c r="CI11" i="32"/>
  <c r="CJ11" i="32"/>
  <c r="CK11" i="32"/>
  <c r="CL11" i="32"/>
  <c r="CM11" i="32"/>
  <c r="CN11" i="32"/>
  <c r="CO11" i="32"/>
  <c r="CP11" i="32"/>
  <c r="CQ11" i="32"/>
  <c r="CR11" i="32"/>
  <c r="CS11" i="32"/>
  <c r="CT11" i="32"/>
  <c r="CU11" i="32"/>
  <c r="CV11" i="32"/>
  <c r="CW11" i="32"/>
  <c r="CX11" i="32"/>
  <c r="CY11" i="32"/>
  <c r="CZ11" i="32"/>
  <c r="DA11" i="32"/>
  <c r="DB11" i="32"/>
  <c r="DC11" i="32"/>
  <c r="DD11" i="32"/>
  <c r="DE11" i="32"/>
  <c r="DF11" i="32"/>
  <c r="DG11" i="32"/>
  <c r="DH11" i="32"/>
  <c r="DI11" i="32"/>
  <c r="DJ11" i="32"/>
  <c r="DK11" i="32"/>
  <c r="DL11" i="32"/>
  <c r="DM11" i="32"/>
  <c r="DN11" i="32"/>
  <c r="DO11" i="32"/>
  <c r="DP11" i="32"/>
  <c r="DQ11" i="32"/>
  <c r="DR11" i="32"/>
  <c r="DS11" i="32"/>
  <c r="DT11" i="32"/>
  <c r="DU11" i="32"/>
  <c r="DV11" i="32"/>
  <c r="DW11" i="32"/>
  <c r="DX11" i="32"/>
  <c r="DY11" i="32"/>
  <c r="DZ11" i="32"/>
  <c r="EA11" i="32"/>
  <c r="EB11" i="32"/>
  <c r="EC11" i="32"/>
  <c r="ED11" i="32"/>
  <c r="EE11" i="32"/>
  <c r="EF11" i="32"/>
  <c r="EG11" i="32"/>
  <c r="EH11" i="32"/>
  <c r="EI11" i="32"/>
  <c r="EJ11" i="32"/>
  <c r="EK11" i="32"/>
  <c r="EL11" i="32"/>
  <c r="EM11" i="32"/>
  <c r="EN11" i="32"/>
  <c r="EO11" i="32"/>
  <c r="EP11" i="32"/>
  <c r="EQ11" i="32"/>
  <c r="ER11" i="32"/>
  <c r="ES11" i="32"/>
  <c r="ET11" i="32"/>
  <c r="EU11" i="32"/>
  <c r="EV11" i="32"/>
  <c r="EW11" i="32"/>
  <c r="EX11" i="32"/>
  <c r="EY11" i="32"/>
  <c r="EZ11" i="32"/>
  <c r="FA11" i="32"/>
  <c r="FB11" i="32"/>
  <c r="FC11" i="32"/>
  <c r="FD11" i="32"/>
  <c r="FE11" i="32"/>
  <c r="FF11" i="32"/>
  <c r="FG11" i="32"/>
  <c r="FH11" i="32"/>
  <c r="FI11" i="32"/>
  <c r="FJ11" i="32"/>
  <c r="FK11" i="32"/>
  <c r="FL11" i="32"/>
  <c r="FM11" i="32"/>
  <c r="FN11" i="32"/>
  <c r="FO11" i="32"/>
  <c r="FP11" i="32"/>
  <c r="FQ11" i="32"/>
  <c r="FR11" i="32"/>
  <c r="FS11" i="32"/>
  <c r="FT11" i="32"/>
  <c r="FU11" i="32"/>
  <c r="FV11" i="32"/>
  <c r="FW11" i="32"/>
  <c r="FX11" i="32"/>
  <c r="FY11" i="32"/>
  <c r="FZ11" i="32"/>
  <c r="GA11" i="32"/>
  <c r="GB11" i="32"/>
  <c r="GC11" i="32"/>
  <c r="GD11" i="32"/>
  <c r="GE11" i="32"/>
  <c r="GF11" i="32"/>
  <c r="GG11" i="32"/>
  <c r="GH11" i="32"/>
  <c r="GI11" i="32"/>
  <c r="GJ11" i="32"/>
  <c r="GK11" i="32"/>
  <c r="GL11" i="32"/>
  <c r="GM11" i="32"/>
  <c r="GN11" i="32"/>
  <c r="GO11" i="32"/>
  <c r="GP11" i="32"/>
  <c r="GQ11" i="32"/>
  <c r="GR11" i="32"/>
  <c r="GS11" i="32"/>
  <c r="GT11" i="32"/>
  <c r="GU11" i="32"/>
  <c r="GV11" i="32"/>
  <c r="GW11" i="32"/>
  <c r="GX11" i="32"/>
  <c r="GY11" i="32"/>
  <c r="GZ11" i="32"/>
  <c r="HA11" i="32"/>
  <c r="HB11" i="32"/>
  <c r="HC11" i="32"/>
  <c r="HD11" i="32"/>
  <c r="HE11" i="32"/>
  <c r="HF11" i="32"/>
  <c r="HG11" i="32"/>
  <c r="HH11" i="32"/>
  <c r="HI11" i="32"/>
  <c r="HJ11" i="32"/>
  <c r="HK11" i="32"/>
  <c r="HL11" i="32"/>
  <c r="HM11" i="32"/>
  <c r="HN11" i="32"/>
  <c r="HO11" i="32"/>
  <c r="HP11" i="32"/>
  <c r="HQ11" i="32"/>
  <c r="HR11" i="32"/>
  <c r="HS11" i="32"/>
  <c r="HT11" i="32"/>
  <c r="HU11" i="32"/>
  <c r="HV11" i="32"/>
  <c r="HW11" i="32"/>
  <c r="HX11" i="32"/>
  <c r="HY11" i="32"/>
  <c r="HZ11" i="32"/>
  <c r="IA11" i="32"/>
  <c r="IB11" i="32"/>
  <c r="IC11" i="32"/>
  <c r="ID11" i="32"/>
  <c r="IE11" i="32"/>
  <c r="IF11" i="32"/>
  <c r="IG11" i="32"/>
  <c r="IH11" i="32"/>
  <c r="II11" i="32"/>
  <c r="IJ11" i="32"/>
  <c r="IK11" i="32"/>
  <c r="IL11" i="32"/>
  <c r="IM11" i="32"/>
  <c r="IN11" i="32"/>
  <c r="IO11" i="32"/>
  <c r="IP11" i="32"/>
  <c r="IQ11" i="32"/>
  <c r="IR11" i="32"/>
  <c r="IS11" i="32"/>
  <c r="IT11" i="32"/>
  <c r="IU11" i="32"/>
  <c r="IV11" i="32"/>
  <c r="A10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AM10" i="32"/>
  <c r="AN10" i="32"/>
  <c r="AO10" i="32"/>
  <c r="AP10" i="32"/>
  <c r="AQ10" i="32"/>
  <c r="AR10" i="32"/>
  <c r="AS10" i="32"/>
  <c r="AT10" i="32"/>
  <c r="AU10" i="32"/>
  <c r="AV10" i="32"/>
  <c r="AW10" i="32"/>
  <c r="AX10" i="32"/>
  <c r="AY10" i="32"/>
  <c r="AZ10" i="32"/>
  <c r="BA10" i="32"/>
  <c r="BB10" i="32"/>
  <c r="BC10" i="32"/>
  <c r="BD10" i="32"/>
  <c r="BE10" i="32"/>
  <c r="BF10" i="32"/>
  <c r="BG10" i="32"/>
  <c r="BH10" i="32"/>
  <c r="BI10" i="32"/>
  <c r="BJ10" i="32"/>
  <c r="BK10" i="32"/>
  <c r="BL10" i="32"/>
  <c r="BM10" i="32"/>
  <c r="BN10" i="32"/>
  <c r="BO10" i="32"/>
  <c r="BP10" i="32"/>
  <c r="BQ10" i="32"/>
  <c r="BR10" i="32"/>
  <c r="BS10" i="32"/>
  <c r="BT10" i="32"/>
  <c r="BU10" i="32"/>
  <c r="BV10" i="32"/>
  <c r="BW10" i="32"/>
  <c r="BX10" i="32"/>
  <c r="BY10" i="32"/>
  <c r="BZ10" i="32"/>
  <c r="CA10" i="32"/>
  <c r="CB10" i="32"/>
  <c r="CC10" i="32"/>
  <c r="CD10" i="32"/>
  <c r="CE10" i="32"/>
  <c r="CF10" i="32"/>
  <c r="CG10" i="32"/>
  <c r="CH10" i="32"/>
  <c r="CI10" i="32"/>
  <c r="CJ10" i="32"/>
  <c r="CK10" i="32"/>
  <c r="CL10" i="32"/>
  <c r="CM10" i="32"/>
  <c r="CN10" i="32"/>
  <c r="CO10" i="32"/>
  <c r="CP10" i="32"/>
  <c r="CQ10" i="32"/>
  <c r="CR10" i="32"/>
  <c r="CS10" i="32"/>
  <c r="CT10" i="32"/>
  <c r="CU10" i="32"/>
  <c r="CV10" i="32"/>
  <c r="CW10" i="32"/>
  <c r="CX10" i="32"/>
  <c r="CY10" i="32"/>
  <c r="CZ10" i="32"/>
  <c r="DA10" i="32"/>
  <c r="DB10" i="32"/>
  <c r="DC10" i="32"/>
  <c r="DD10" i="32"/>
  <c r="DE10" i="32"/>
  <c r="DF10" i="32"/>
  <c r="DG10" i="32"/>
  <c r="DH10" i="32"/>
  <c r="DI10" i="32"/>
  <c r="DJ10" i="32"/>
  <c r="DK10" i="32"/>
  <c r="DL10" i="32"/>
  <c r="DM10" i="32"/>
  <c r="DN10" i="32"/>
  <c r="DO10" i="32"/>
  <c r="DP10" i="32"/>
  <c r="DQ10" i="32"/>
  <c r="DR10" i="32"/>
  <c r="DS10" i="32"/>
  <c r="DT10" i="32"/>
  <c r="DU10" i="32"/>
  <c r="DV10" i="32"/>
  <c r="DW10" i="32"/>
  <c r="DX10" i="32"/>
  <c r="DY10" i="32"/>
  <c r="DZ10" i="32"/>
  <c r="EA10" i="32"/>
  <c r="EB10" i="32"/>
  <c r="EC10" i="32"/>
  <c r="ED10" i="32"/>
  <c r="EE10" i="32"/>
  <c r="EF10" i="32"/>
  <c r="EG10" i="32"/>
  <c r="EH10" i="32"/>
  <c r="EI10" i="32"/>
  <c r="EJ10" i="32"/>
  <c r="EK10" i="32"/>
  <c r="EL10" i="32"/>
  <c r="EM10" i="32"/>
  <c r="EN10" i="32"/>
  <c r="EO10" i="32"/>
  <c r="EP10" i="32"/>
  <c r="EQ10" i="32"/>
  <c r="ER10" i="32"/>
  <c r="ES10" i="32"/>
  <c r="ET10" i="32"/>
  <c r="EU10" i="32"/>
  <c r="EV10" i="32"/>
  <c r="EW10" i="32"/>
  <c r="EX10" i="32"/>
  <c r="EY10" i="32"/>
  <c r="EZ10" i="32"/>
  <c r="FA10" i="32"/>
  <c r="FB10" i="32"/>
  <c r="FC10" i="32"/>
  <c r="FD10" i="32"/>
  <c r="FE10" i="32"/>
  <c r="FF10" i="32"/>
  <c r="FG10" i="32"/>
  <c r="FH10" i="32"/>
  <c r="FI10" i="32"/>
  <c r="FJ10" i="32"/>
  <c r="FK10" i="32"/>
  <c r="FL10" i="32"/>
  <c r="FM10" i="32"/>
  <c r="FN10" i="32"/>
  <c r="FO10" i="32"/>
  <c r="FP10" i="32"/>
  <c r="FQ10" i="32"/>
  <c r="FR10" i="32"/>
  <c r="FS10" i="32"/>
  <c r="FT10" i="32"/>
  <c r="FU10" i="32"/>
  <c r="FV10" i="32"/>
  <c r="FW10" i="32"/>
  <c r="FX10" i="32"/>
  <c r="FY10" i="32"/>
  <c r="FZ10" i="32"/>
  <c r="GA10" i="32"/>
  <c r="GB10" i="32"/>
  <c r="GC10" i="32"/>
  <c r="GD10" i="32"/>
  <c r="GE10" i="32"/>
  <c r="GF10" i="32"/>
  <c r="GG10" i="32"/>
  <c r="GH10" i="32"/>
  <c r="GI10" i="32"/>
  <c r="GJ10" i="32"/>
  <c r="GK10" i="32"/>
  <c r="GL10" i="32"/>
  <c r="GM10" i="32"/>
  <c r="GN10" i="32"/>
  <c r="GO10" i="32"/>
  <c r="GP10" i="32"/>
  <c r="GQ10" i="32"/>
  <c r="GR10" i="32"/>
  <c r="GS10" i="32"/>
  <c r="GT10" i="32"/>
  <c r="GU10" i="32"/>
  <c r="GV10" i="32"/>
  <c r="GW10" i="32"/>
  <c r="GX10" i="32"/>
  <c r="GY10" i="32"/>
  <c r="GZ10" i="32"/>
  <c r="HA10" i="32"/>
  <c r="HB10" i="32"/>
  <c r="HC10" i="32"/>
  <c r="HD10" i="32"/>
  <c r="HE10" i="32"/>
  <c r="HF10" i="32"/>
  <c r="HG10" i="32"/>
  <c r="HH10" i="32"/>
  <c r="HI10" i="32"/>
  <c r="HJ10" i="32"/>
  <c r="HK10" i="32"/>
  <c r="HL10" i="32"/>
  <c r="HM10" i="32"/>
  <c r="HN10" i="32"/>
  <c r="HO10" i="32"/>
  <c r="HP10" i="32"/>
  <c r="HQ10" i="32"/>
  <c r="HR10" i="32"/>
  <c r="HS10" i="32"/>
  <c r="HT10" i="32"/>
  <c r="HU10" i="32"/>
  <c r="HV10" i="32"/>
  <c r="HW10" i="32"/>
  <c r="HX10" i="32"/>
  <c r="HY10" i="32"/>
  <c r="HZ10" i="32"/>
  <c r="IA10" i="32"/>
  <c r="IB10" i="32"/>
  <c r="IC10" i="32"/>
  <c r="ID10" i="32"/>
  <c r="IE10" i="32"/>
  <c r="IF10" i="32"/>
  <c r="IG10" i="32"/>
  <c r="IH10" i="32"/>
  <c r="II10" i="32"/>
  <c r="IJ10" i="32"/>
  <c r="IK10" i="32"/>
  <c r="IL10" i="32"/>
  <c r="IM10" i="32"/>
  <c r="IN10" i="32"/>
  <c r="IO10" i="32"/>
  <c r="IP10" i="32"/>
  <c r="IQ10" i="32"/>
  <c r="IR10" i="32"/>
  <c r="IS10" i="32"/>
  <c r="IT10" i="32"/>
  <c r="IU10" i="32"/>
  <c r="IV10" i="32"/>
  <c r="A9" i="32"/>
  <c r="B9" i="32"/>
  <c r="C9" i="32"/>
  <c r="D9" i="32"/>
  <c r="E9" i="32"/>
  <c r="F9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Z9" i="32"/>
  <c r="AA9" i="32"/>
  <c r="AB9" i="32"/>
  <c r="AC9" i="32"/>
  <c r="AD9" i="32"/>
  <c r="AE9" i="32"/>
  <c r="AF9" i="32"/>
  <c r="AG9" i="32"/>
  <c r="AH9" i="32"/>
  <c r="AI9" i="32"/>
  <c r="AJ9" i="32"/>
  <c r="AK9" i="32"/>
  <c r="AL9" i="32"/>
  <c r="AM9" i="32"/>
  <c r="AN9" i="32"/>
  <c r="AO9" i="32"/>
  <c r="AP9" i="32"/>
  <c r="AQ9" i="32"/>
  <c r="AR9" i="32"/>
  <c r="AS9" i="32"/>
  <c r="AT9" i="32"/>
  <c r="AU9" i="32"/>
  <c r="AV9" i="32"/>
  <c r="AW9" i="32"/>
  <c r="AX9" i="32"/>
  <c r="AY9" i="32"/>
  <c r="AZ9" i="32"/>
  <c r="BA9" i="32"/>
  <c r="BB9" i="32"/>
  <c r="BC9" i="32"/>
  <c r="BD9" i="32"/>
  <c r="BE9" i="32"/>
  <c r="BF9" i="32"/>
  <c r="BG9" i="32"/>
  <c r="BH9" i="32"/>
  <c r="BI9" i="32"/>
  <c r="BJ9" i="32"/>
  <c r="BK9" i="32"/>
  <c r="BL9" i="32"/>
  <c r="BM9" i="32"/>
  <c r="BN9" i="32"/>
  <c r="BO9" i="32"/>
  <c r="BP9" i="32"/>
  <c r="BQ9" i="32"/>
  <c r="BR9" i="32"/>
  <c r="BS9" i="32"/>
  <c r="BT9" i="32"/>
  <c r="BU9" i="32"/>
  <c r="BV9" i="32"/>
  <c r="BW9" i="32"/>
  <c r="BX9" i="32"/>
  <c r="BY9" i="32"/>
  <c r="BZ9" i="32"/>
  <c r="CA9" i="32"/>
  <c r="CB9" i="32"/>
  <c r="CC9" i="32"/>
  <c r="CD9" i="32"/>
  <c r="CE9" i="32"/>
  <c r="CF9" i="32"/>
  <c r="CG9" i="32"/>
  <c r="CH9" i="32"/>
  <c r="CI9" i="32"/>
  <c r="CJ9" i="32"/>
  <c r="CK9" i="32"/>
  <c r="CL9" i="32"/>
  <c r="CM9" i="32"/>
  <c r="CN9" i="32"/>
  <c r="CO9" i="32"/>
  <c r="CP9" i="32"/>
  <c r="CQ9" i="32"/>
  <c r="CR9" i="32"/>
  <c r="CS9" i="32"/>
  <c r="CT9" i="32"/>
  <c r="CU9" i="32"/>
  <c r="CV9" i="32"/>
  <c r="CW9" i="32"/>
  <c r="CX9" i="32"/>
  <c r="CY9" i="32"/>
  <c r="CZ9" i="32"/>
  <c r="DA9" i="32"/>
  <c r="DB9" i="32"/>
  <c r="DC9" i="32"/>
  <c r="DD9" i="32"/>
  <c r="DE9" i="32"/>
  <c r="DF9" i="32"/>
  <c r="DG9" i="32"/>
  <c r="DH9" i="32"/>
  <c r="DI9" i="32"/>
  <c r="DJ9" i="32"/>
  <c r="DK9" i="32"/>
  <c r="DL9" i="32"/>
  <c r="DM9" i="32"/>
  <c r="DN9" i="32"/>
  <c r="DO9" i="32"/>
  <c r="DP9" i="32"/>
  <c r="DQ9" i="32"/>
  <c r="DR9" i="32"/>
  <c r="DS9" i="32"/>
  <c r="DT9" i="32"/>
  <c r="DU9" i="32"/>
  <c r="DV9" i="32"/>
  <c r="DW9" i="32"/>
  <c r="DX9" i="32"/>
  <c r="DY9" i="32"/>
  <c r="DZ9" i="32"/>
  <c r="EA9" i="32"/>
  <c r="EB9" i="32"/>
  <c r="EC9" i="32"/>
  <c r="ED9" i="32"/>
  <c r="EE9" i="32"/>
  <c r="EF9" i="32"/>
  <c r="EG9" i="32"/>
  <c r="EH9" i="32"/>
  <c r="EI9" i="32"/>
  <c r="EJ9" i="32"/>
  <c r="EK9" i="32"/>
  <c r="EL9" i="32"/>
  <c r="EM9" i="32"/>
  <c r="EN9" i="32"/>
  <c r="EO9" i="32"/>
  <c r="EP9" i="32"/>
  <c r="EQ9" i="32"/>
  <c r="ER9" i="32"/>
  <c r="ES9" i="32"/>
  <c r="ET9" i="32"/>
  <c r="EU9" i="32"/>
  <c r="EV9" i="32"/>
  <c r="EW9" i="32"/>
  <c r="EX9" i="32"/>
  <c r="EY9" i="32"/>
  <c r="EZ9" i="32"/>
  <c r="FA9" i="32"/>
  <c r="FB9" i="32"/>
  <c r="FC9" i="32"/>
  <c r="FD9" i="32"/>
  <c r="FE9" i="32"/>
  <c r="FF9" i="32"/>
  <c r="FG9" i="32"/>
  <c r="FH9" i="32"/>
  <c r="FI9" i="32"/>
  <c r="FJ9" i="32"/>
  <c r="FK9" i="32"/>
  <c r="FL9" i="32"/>
  <c r="FM9" i="32"/>
  <c r="FN9" i="32"/>
  <c r="FO9" i="32"/>
  <c r="FP9" i="32"/>
  <c r="FQ9" i="32"/>
  <c r="FR9" i="32"/>
  <c r="FS9" i="32"/>
  <c r="FT9" i="32"/>
  <c r="FU9" i="32"/>
  <c r="FV9" i="32"/>
  <c r="FW9" i="32"/>
  <c r="FX9" i="32"/>
  <c r="FY9" i="32"/>
  <c r="FZ9" i="32"/>
  <c r="GA9" i="32"/>
  <c r="GB9" i="32"/>
  <c r="GC9" i="32"/>
  <c r="GD9" i="32"/>
  <c r="GE9" i="32"/>
  <c r="GF9" i="32"/>
  <c r="GG9" i="32"/>
  <c r="GH9" i="32"/>
  <c r="GI9" i="32"/>
  <c r="GJ9" i="32"/>
  <c r="GK9" i="32"/>
  <c r="GL9" i="32"/>
  <c r="GM9" i="32"/>
  <c r="GN9" i="32"/>
  <c r="GO9" i="32"/>
  <c r="GP9" i="32"/>
  <c r="GQ9" i="32"/>
  <c r="GR9" i="32"/>
  <c r="GS9" i="32"/>
  <c r="GT9" i="32"/>
  <c r="GU9" i="32"/>
  <c r="GV9" i="32"/>
  <c r="GW9" i="32"/>
  <c r="GX9" i="32"/>
  <c r="GY9" i="32"/>
  <c r="GZ9" i="32"/>
  <c r="HA9" i="32"/>
  <c r="HB9" i="32"/>
  <c r="HC9" i="32"/>
  <c r="HD9" i="32"/>
  <c r="HE9" i="32"/>
  <c r="HF9" i="32"/>
  <c r="HG9" i="32"/>
  <c r="HH9" i="32"/>
  <c r="HI9" i="32"/>
  <c r="HJ9" i="32"/>
  <c r="HK9" i="32"/>
  <c r="HL9" i="32"/>
  <c r="HM9" i="32"/>
  <c r="HN9" i="32"/>
  <c r="HO9" i="32"/>
  <c r="HP9" i="32"/>
  <c r="HQ9" i="32"/>
  <c r="HR9" i="32"/>
  <c r="HS9" i="32"/>
  <c r="HT9" i="32"/>
  <c r="HU9" i="32"/>
  <c r="HV9" i="32"/>
  <c r="HW9" i="32"/>
  <c r="HX9" i="32"/>
  <c r="HY9" i="32"/>
  <c r="HZ9" i="32"/>
  <c r="IA9" i="32"/>
  <c r="IB9" i="32"/>
  <c r="IC9" i="32"/>
  <c r="ID9" i="32"/>
  <c r="IE9" i="32"/>
  <c r="IF9" i="32"/>
  <c r="IG9" i="32"/>
  <c r="IH9" i="32"/>
  <c r="II9" i="32"/>
  <c r="IJ9" i="32"/>
  <c r="IK9" i="32"/>
  <c r="IL9" i="32"/>
  <c r="IM9" i="32"/>
  <c r="IN9" i="32"/>
  <c r="IO9" i="32"/>
  <c r="IP9" i="32"/>
  <c r="IQ9" i="32"/>
  <c r="IR9" i="32"/>
  <c r="IS9" i="32"/>
  <c r="IT9" i="32"/>
  <c r="IU9" i="32"/>
  <c r="IV9" i="32"/>
  <c r="A8" i="32"/>
  <c r="B8" i="32"/>
  <c r="C8" i="32"/>
  <c r="D8" i="32"/>
  <c r="E8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Z8" i="32"/>
  <c r="AA8" i="32"/>
  <c r="AB8" i="32"/>
  <c r="AC8" i="32"/>
  <c r="AD8" i="32"/>
  <c r="AE8" i="32"/>
  <c r="AF8" i="32"/>
  <c r="AG8" i="32"/>
  <c r="AH8" i="32"/>
  <c r="AI8" i="32"/>
  <c r="AJ8" i="32"/>
  <c r="AK8" i="32"/>
  <c r="AL8" i="32"/>
  <c r="AM8" i="32"/>
  <c r="AN8" i="32"/>
  <c r="AO8" i="32"/>
  <c r="AP8" i="32"/>
  <c r="AQ8" i="32"/>
  <c r="AR8" i="32"/>
  <c r="AS8" i="32"/>
  <c r="AT8" i="32"/>
  <c r="AU8" i="32"/>
  <c r="AV8" i="32"/>
  <c r="AW8" i="32"/>
  <c r="AX8" i="32"/>
  <c r="AY8" i="32"/>
  <c r="AZ8" i="32"/>
  <c r="BA8" i="32"/>
  <c r="BB8" i="32"/>
  <c r="BC8" i="32"/>
  <c r="BD8" i="32"/>
  <c r="BE8" i="32"/>
  <c r="BF8" i="32"/>
  <c r="BG8" i="32"/>
  <c r="BH8" i="32"/>
  <c r="BI8" i="32"/>
  <c r="BJ8" i="32"/>
  <c r="BK8" i="32"/>
  <c r="BL8" i="32"/>
  <c r="BM8" i="32"/>
  <c r="BN8" i="32"/>
  <c r="BO8" i="32"/>
  <c r="BP8" i="32"/>
  <c r="BQ8" i="32"/>
  <c r="BR8" i="32"/>
  <c r="BS8" i="32"/>
  <c r="BT8" i="32"/>
  <c r="BU8" i="32"/>
  <c r="BV8" i="32"/>
  <c r="BW8" i="32"/>
  <c r="BX8" i="32"/>
  <c r="BY8" i="32"/>
  <c r="BZ8" i="32"/>
  <c r="CA8" i="32"/>
  <c r="CB8" i="32"/>
  <c r="CC8" i="32"/>
  <c r="CD8" i="32"/>
  <c r="CE8" i="32"/>
  <c r="CF8" i="32"/>
  <c r="CG8" i="32"/>
  <c r="CH8" i="32"/>
  <c r="CI8" i="32"/>
  <c r="CJ8" i="32"/>
  <c r="CK8" i="32"/>
  <c r="CL8" i="32"/>
  <c r="CM8" i="32"/>
  <c r="CN8" i="32"/>
  <c r="CO8" i="32"/>
  <c r="CP8" i="32"/>
  <c r="CQ8" i="32"/>
  <c r="CR8" i="32"/>
  <c r="CS8" i="32"/>
  <c r="CT8" i="32"/>
  <c r="CU8" i="32"/>
  <c r="CV8" i="32"/>
  <c r="CW8" i="32"/>
  <c r="CX8" i="32"/>
  <c r="CY8" i="32"/>
  <c r="CZ8" i="32"/>
  <c r="DA8" i="32"/>
  <c r="DB8" i="32"/>
  <c r="DC8" i="32"/>
  <c r="DD8" i="32"/>
  <c r="DE8" i="32"/>
  <c r="DF8" i="32"/>
  <c r="DG8" i="32"/>
  <c r="DH8" i="32"/>
  <c r="DI8" i="32"/>
  <c r="DJ8" i="32"/>
  <c r="DK8" i="32"/>
  <c r="DL8" i="32"/>
  <c r="DM8" i="32"/>
  <c r="DN8" i="32"/>
  <c r="DO8" i="32"/>
  <c r="DP8" i="32"/>
  <c r="DQ8" i="32"/>
  <c r="DR8" i="32"/>
  <c r="DS8" i="32"/>
  <c r="DT8" i="32"/>
  <c r="DU8" i="32"/>
  <c r="DV8" i="32"/>
  <c r="DW8" i="32"/>
  <c r="DX8" i="32"/>
  <c r="DY8" i="32"/>
  <c r="DZ8" i="32"/>
  <c r="EA8" i="32"/>
  <c r="EB8" i="32"/>
  <c r="EC8" i="32"/>
  <c r="ED8" i="32"/>
  <c r="EE8" i="32"/>
  <c r="EF8" i="32"/>
  <c r="EG8" i="32"/>
  <c r="EH8" i="32"/>
  <c r="EI8" i="32"/>
  <c r="EJ8" i="32"/>
  <c r="EK8" i="32"/>
  <c r="EL8" i="32"/>
  <c r="EM8" i="32"/>
  <c r="EN8" i="32"/>
  <c r="EO8" i="32"/>
  <c r="EP8" i="32"/>
  <c r="EQ8" i="32"/>
  <c r="ER8" i="32"/>
  <c r="ES8" i="32"/>
  <c r="ET8" i="32"/>
  <c r="EU8" i="32"/>
  <c r="EV8" i="32"/>
  <c r="EW8" i="32"/>
  <c r="EX8" i="32"/>
  <c r="EY8" i="32"/>
  <c r="EZ8" i="32"/>
  <c r="FA8" i="32"/>
  <c r="FB8" i="32"/>
  <c r="FC8" i="32"/>
  <c r="FD8" i="32"/>
  <c r="FE8" i="32"/>
  <c r="FF8" i="32"/>
  <c r="FG8" i="32"/>
  <c r="FH8" i="32"/>
  <c r="FI8" i="32"/>
  <c r="FJ8" i="32"/>
  <c r="FK8" i="32"/>
  <c r="FL8" i="32"/>
  <c r="FM8" i="32"/>
  <c r="FN8" i="32"/>
  <c r="FO8" i="32"/>
  <c r="FP8" i="32"/>
  <c r="FQ8" i="32"/>
  <c r="FR8" i="32"/>
  <c r="FS8" i="32"/>
  <c r="FT8" i="32"/>
  <c r="FU8" i="32"/>
  <c r="FV8" i="32"/>
  <c r="FW8" i="32"/>
  <c r="FX8" i="32"/>
  <c r="FY8" i="32"/>
  <c r="FZ8" i="32"/>
  <c r="GA8" i="32"/>
  <c r="GB8" i="32"/>
  <c r="GC8" i="32"/>
  <c r="GD8" i="32"/>
  <c r="GE8" i="32"/>
  <c r="GF8" i="32"/>
  <c r="GG8" i="32"/>
  <c r="GH8" i="32"/>
  <c r="GI8" i="32"/>
  <c r="GJ8" i="32"/>
  <c r="GK8" i="32"/>
  <c r="GL8" i="32"/>
  <c r="GM8" i="32"/>
  <c r="GN8" i="32"/>
  <c r="GO8" i="32"/>
  <c r="GP8" i="32"/>
  <c r="GQ8" i="32"/>
  <c r="GR8" i="32"/>
  <c r="GS8" i="32"/>
  <c r="GT8" i="32"/>
  <c r="GU8" i="32"/>
  <c r="GV8" i="32"/>
  <c r="GW8" i="32"/>
  <c r="GX8" i="32"/>
  <c r="GY8" i="32"/>
  <c r="GZ8" i="32"/>
  <c r="HA8" i="32"/>
  <c r="HB8" i="32"/>
  <c r="HC8" i="32"/>
  <c r="HD8" i="32"/>
  <c r="HE8" i="32"/>
  <c r="HF8" i="32"/>
  <c r="HG8" i="32"/>
  <c r="HH8" i="32"/>
  <c r="HI8" i="32"/>
  <c r="HJ8" i="32"/>
  <c r="HK8" i="32"/>
  <c r="HL8" i="32"/>
  <c r="HM8" i="32"/>
  <c r="HN8" i="32"/>
  <c r="HO8" i="32"/>
  <c r="HP8" i="32"/>
  <c r="HQ8" i="32"/>
  <c r="HR8" i="32"/>
  <c r="HS8" i="32"/>
  <c r="HT8" i="32"/>
  <c r="HU8" i="32"/>
  <c r="HV8" i="32"/>
  <c r="HW8" i="32"/>
  <c r="HX8" i="32"/>
  <c r="HY8" i="32"/>
  <c r="HZ8" i="32"/>
  <c r="IA8" i="32"/>
  <c r="IB8" i="32"/>
  <c r="IC8" i="32"/>
  <c r="ID8" i="32"/>
  <c r="IE8" i="32"/>
  <c r="IF8" i="32"/>
  <c r="IG8" i="32"/>
  <c r="IH8" i="32"/>
  <c r="II8" i="32"/>
  <c r="IJ8" i="32"/>
  <c r="IK8" i="32"/>
  <c r="IL8" i="32"/>
  <c r="IM8" i="32"/>
  <c r="IN8" i="32"/>
  <c r="IO8" i="32"/>
  <c r="IP8" i="32"/>
  <c r="IQ8" i="32"/>
  <c r="IR8" i="32"/>
  <c r="IS8" i="32"/>
  <c r="IT8" i="32"/>
  <c r="IU8" i="32"/>
  <c r="IV8" i="32"/>
  <c r="A7" i="32"/>
  <c r="B7" i="32"/>
  <c r="C7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7" i="32"/>
  <c r="AR7" i="32"/>
  <c r="AS7" i="32"/>
  <c r="AT7" i="32"/>
  <c r="AU7" i="32"/>
  <c r="AV7" i="32"/>
  <c r="AW7" i="32"/>
  <c r="AX7" i="32"/>
  <c r="AY7" i="32"/>
  <c r="AZ7" i="32"/>
  <c r="BA7" i="32"/>
  <c r="BB7" i="32"/>
  <c r="BC7" i="32"/>
  <c r="BD7" i="32"/>
  <c r="BE7" i="32"/>
  <c r="BF7" i="32"/>
  <c r="BG7" i="32"/>
  <c r="BH7" i="32"/>
  <c r="BI7" i="32"/>
  <c r="BJ7" i="32"/>
  <c r="BK7" i="32"/>
  <c r="BL7" i="32"/>
  <c r="BM7" i="32"/>
  <c r="BN7" i="32"/>
  <c r="BO7" i="32"/>
  <c r="BP7" i="32"/>
  <c r="BQ7" i="32"/>
  <c r="BR7" i="32"/>
  <c r="BS7" i="32"/>
  <c r="BT7" i="32"/>
  <c r="BU7" i="32"/>
  <c r="BV7" i="32"/>
  <c r="BW7" i="32"/>
  <c r="BX7" i="32"/>
  <c r="BY7" i="32"/>
  <c r="BZ7" i="32"/>
  <c r="CA7" i="32"/>
  <c r="CB7" i="32"/>
  <c r="CC7" i="32"/>
  <c r="CD7" i="32"/>
  <c r="CE7" i="32"/>
  <c r="CF7" i="32"/>
  <c r="CG7" i="32"/>
  <c r="CH7" i="32"/>
  <c r="CI7" i="32"/>
  <c r="CJ7" i="32"/>
  <c r="CK7" i="32"/>
  <c r="CL7" i="32"/>
  <c r="CM7" i="32"/>
  <c r="CN7" i="32"/>
  <c r="CO7" i="32"/>
  <c r="CP7" i="32"/>
  <c r="CQ7" i="32"/>
  <c r="CR7" i="32"/>
  <c r="CS7" i="32"/>
  <c r="CT7" i="32"/>
  <c r="CU7" i="32"/>
  <c r="CV7" i="32"/>
  <c r="CW7" i="32"/>
  <c r="CX7" i="32"/>
  <c r="CY7" i="32"/>
  <c r="CZ7" i="32"/>
  <c r="DA7" i="32"/>
  <c r="DB7" i="32"/>
  <c r="DC7" i="32"/>
  <c r="DD7" i="32"/>
  <c r="DE7" i="32"/>
  <c r="DF7" i="32"/>
  <c r="DG7" i="32"/>
  <c r="DH7" i="32"/>
  <c r="DI7" i="32"/>
  <c r="DJ7" i="32"/>
  <c r="DK7" i="32"/>
  <c r="DL7" i="32"/>
  <c r="DM7" i="32"/>
  <c r="DN7" i="32"/>
  <c r="DO7" i="32"/>
  <c r="DP7" i="32"/>
  <c r="DQ7" i="32"/>
  <c r="DR7" i="32"/>
  <c r="DS7" i="32"/>
  <c r="DT7" i="32"/>
  <c r="DU7" i="32"/>
  <c r="DV7" i="32"/>
  <c r="DW7" i="32"/>
  <c r="DX7" i="32"/>
  <c r="DY7" i="32"/>
  <c r="DZ7" i="32"/>
  <c r="EA7" i="32"/>
  <c r="EB7" i="32"/>
  <c r="EC7" i="32"/>
  <c r="ED7" i="32"/>
  <c r="EE7" i="32"/>
  <c r="EF7" i="32"/>
  <c r="EG7" i="32"/>
  <c r="EH7" i="32"/>
  <c r="EI7" i="32"/>
  <c r="EJ7" i="32"/>
  <c r="EK7" i="32"/>
  <c r="EL7" i="32"/>
  <c r="EM7" i="32"/>
  <c r="EN7" i="32"/>
  <c r="EO7" i="32"/>
  <c r="EP7" i="32"/>
  <c r="EQ7" i="32"/>
  <c r="ER7" i="32"/>
  <c r="ES7" i="32"/>
  <c r="ET7" i="32"/>
  <c r="EU7" i="32"/>
  <c r="EV7" i="32"/>
  <c r="EW7" i="32"/>
  <c r="EX7" i="32"/>
  <c r="EY7" i="32"/>
  <c r="EZ7" i="32"/>
  <c r="FA7" i="32"/>
  <c r="FB7" i="32"/>
  <c r="FC7" i="32"/>
  <c r="FD7" i="32"/>
  <c r="FE7" i="32"/>
  <c r="FF7" i="32"/>
  <c r="FG7" i="32"/>
  <c r="FH7" i="32"/>
  <c r="FI7" i="32"/>
  <c r="FJ7" i="32"/>
  <c r="FK7" i="32"/>
  <c r="FL7" i="32"/>
  <c r="FM7" i="32"/>
  <c r="FN7" i="32"/>
  <c r="FO7" i="32"/>
  <c r="FP7" i="32"/>
  <c r="FQ7" i="32"/>
  <c r="FR7" i="32"/>
  <c r="FS7" i="32"/>
  <c r="FT7" i="32"/>
  <c r="FU7" i="32"/>
  <c r="FV7" i="32"/>
  <c r="FW7" i="32"/>
  <c r="FX7" i="32"/>
  <c r="FY7" i="32"/>
  <c r="FZ7" i="32"/>
  <c r="GA7" i="32"/>
  <c r="GB7" i="32"/>
  <c r="GC7" i="32"/>
  <c r="GD7" i="32"/>
  <c r="GE7" i="32"/>
  <c r="GF7" i="32"/>
  <c r="GG7" i="32"/>
  <c r="GH7" i="32"/>
  <c r="GI7" i="32"/>
  <c r="GJ7" i="32"/>
  <c r="GK7" i="32"/>
  <c r="GL7" i="32"/>
  <c r="GM7" i="32"/>
  <c r="GN7" i="32"/>
  <c r="GO7" i="32"/>
  <c r="GP7" i="32"/>
  <c r="GQ7" i="32"/>
  <c r="GR7" i="32"/>
  <c r="GS7" i="32"/>
  <c r="GT7" i="32"/>
  <c r="GU7" i="32"/>
  <c r="GV7" i="32"/>
  <c r="GW7" i="32"/>
  <c r="GX7" i="32"/>
  <c r="GY7" i="32"/>
  <c r="GZ7" i="32"/>
  <c r="HA7" i="32"/>
  <c r="HB7" i="32"/>
  <c r="HC7" i="32"/>
  <c r="HD7" i="32"/>
  <c r="HE7" i="32"/>
  <c r="HF7" i="32"/>
  <c r="HG7" i="32"/>
  <c r="HH7" i="32"/>
  <c r="HI7" i="32"/>
  <c r="HJ7" i="32"/>
  <c r="HK7" i="32"/>
  <c r="HL7" i="32"/>
  <c r="HM7" i="32"/>
  <c r="HN7" i="32"/>
  <c r="HO7" i="32"/>
  <c r="HP7" i="32"/>
  <c r="HQ7" i="32"/>
  <c r="HR7" i="32"/>
  <c r="HS7" i="32"/>
  <c r="HT7" i="32"/>
  <c r="HU7" i="32"/>
  <c r="HV7" i="32"/>
  <c r="HW7" i="32"/>
  <c r="HX7" i="32"/>
  <c r="HY7" i="32"/>
  <c r="HZ7" i="32"/>
  <c r="IA7" i="32"/>
  <c r="IB7" i="32"/>
  <c r="IC7" i="32"/>
  <c r="ID7" i="32"/>
  <c r="IE7" i="32"/>
  <c r="IF7" i="32"/>
  <c r="IG7" i="32"/>
  <c r="IH7" i="32"/>
  <c r="II7" i="32"/>
  <c r="IJ7" i="32"/>
  <c r="IK7" i="32"/>
  <c r="IL7" i="32"/>
  <c r="IM7" i="32"/>
  <c r="IN7" i="32"/>
  <c r="IO7" i="32"/>
  <c r="IP7" i="32"/>
  <c r="IQ7" i="32"/>
  <c r="IR7" i="32"/>
  <c r="IS7" i="32"/>
  <c r="IT7" i="32"/>
  <c r="IU7" i="32"/>
  <c r="IV7" i="32"/>
  <c r="A6" i="32"/>
  <c r="B6" i="32"/>
  <c r="C6" i="32"/>
  <c r="D6" i="32"/>
  <c r="E6" i="32"/>
  <c r="F6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Y6" i="32"/>
  <c r="Z6" i="32"/>
  <c r="AA6" i="32"/>
  <c r="AB6" i="32"/>
  <c r="AC6" i="32"/>
  <c r="AD6" i="32"/>
  <c r="AE6" i="32"/>
  <c r="AF6" i="32"/>
  <c r="AG6" i="32"/>
  <c r="AH6" i="32"/>
  <c r="AI6" i="32"/>
  <c r="AJ6" i="32"/>
  <c r="AK6" i="32"/>
  <c r="AL6" i="32"/>
  <c r="AM6" i="32"/>
  <c r="AN6" i="32"/>
  <c r="AO6" i="32"/>
  <c r="AP6" i="32"/>
  <c r="AQ6" i="32"/>
  <c r="AR6" i="32"/>
  <c r="AS6" i="32"/>
  <c r="AT6" i="32"/>
  <c r="AU6" i="32"/>
  <c r="AV6" i="32"/>
  <c r="AW6" i="32"/>
  <c r="AX6" i="32"/>
  <c r="AY6" i="32"/>
  <c r="AZ6" i="32"/>
  <c r="BA6" i="32"/>
  <c r="BB6" i="32"/>
  <c r="BC6" i="32"/>
  <c r="BD6" i="32"/>
  <c r="BE6" i="32"/>
  <c r="BF6" i="32"/>
  <c r="BG6" i="32"/>
  <c r="BH6" i="32"/>
  <c r="BI6" i="32"/>
  <c r="BJ6" i="32"/>
  <c r="BK6" i="32"/>
  <c r="BL6" i="32"/>
  <c r="BM6" i="32"/>
  <c r="BN6" i="32"/>
  <c r="BO6" i="32"/>
  <c r="BP6" i="32"/>
  <c r="BQ6" i="32"/>
  <c r="BR6" i="32"/>
  <c r="BS6" i="32"/>
  <c r="BT6" i="32"/>
  <c r="BU6" i="32"/>
  <c r="BV6" i="32"/>
  <c r="BW6" i="32"/>
  <c r="BX6" i="32"/>
  <c r="BY6" i="32"/>
  <c r="BZ6" i="32"/>
  <c r="CA6" i="32"/>
  <c r="CB6" i="32"/>
  <c r="CC6" i="32"/>
  <c r="CD6" i="32"/>
  <c r="CE6" i="32"/>
  <c r="CF6" i="32"/>
  <c r="CG6" i="32"/>
  <c r="CH6" i="32"/>
  <c r="CI6" i="32"/>
  <c r="CJ6" i="32"/>
  <c r="CK6" i="32"/>
  <c r="CL6" i="32"/>
  <c r="CM6" i="32"/>
  <c r="CN6" i="32"/>
  <c r="CO6" i="32"/>
  <c r="CP6" i="32"/>
  <c r="CQ6" i="32"/>
  <c r="CR6" i="32"/>
  <c r="CS6" i="32"/>
  <c r="CT6" i="32"/>
  <c r="CU6" i="32"/>
  <c r="CV6" i="32"/>
  <c r="CW6" i="32"/>
  <c r="CX6" i="32"/>
  <c r="CY6" i="32"/>
  <c r="CZ6" i="32"/>
  <c r="DA6" i="32"/>
  <c r="DB6" i="32"/>
  <c r="DC6" i="32"/>
  <c r="DD6" i="32"/>
  <c r="DE6" i="32"/>
  <c r="DF6" i="32"/>
  <c r="DG6" i="32"/>
  <c r="DH6" i="32"/>
  <c r="DI6" i="32"/>
  <c r="DJ6" i="32"/>
  <c r="DK6" i="32"/>
  <c r="DL6" i="32"/>
  <c r="DM6" i="32"/>
  <c r="DN6" i="32"/>
  <c r="DO6" i="32"/>
  <c r="DP6" i="32"/>
  <c r="DQ6" i="32"/>
  <c r="DR6" i="32"/>
  <c r="DS6" i="32"/>
  <c r="DT6" i="32"/>
  <c r="DU6" i="32"/>
  <c r="DV6" i="32"/>
  <c r="DW6" i="32"/>
  <c r="DX6" i="32"/>
  <c r="DY6" i="32"/>
  <c r="DZ6" i="32"/>
  <c r="EA6" i="32"/>
  <c r="EB6" i="32"/>
  <c r="EC6" i="32"/>
  <c r="ED6" i="32"/>
  <c r="EE6" i="32"/>
  <c r="EF6" i="32"/>
  <c r="EG6" i="32"/>
  <c r="EH6" i="32"/>
  <c r="EI6" i="32"/>
  <c r="EJ6" i="32"/>
  <c r="EK6" i="32"/>
  <c r="EL6" i="32"/>
  <c r="EM6" i="32"/>
  <c r="EN6" i="32"/>
  <c r="EO6" i="32"/>
  <c r="EP6" i="32"/>
  <c r="EQ6" i="32"/>
  <c r="ER6" i="32"/>
  <c r="ES6" i="32"/>
  <c r="ET6" i="32"/>
  <c r="EU6" i="32"/>
  <c r="EV6" i="32"/>
  <c r="EW6" i="32"/>
  <c r="EX6" i="32"/>
  <c r="EY6" i="32"/>
  <c r="EZ6" i="32"/>
  <c r="FA6" i="32"/>
  <c r="FB6" i="32"/>
  <c r="FC6" i="32"/>
  <c r="FD6" i="32"/>
  <c r="FE6" i="32"/>
  <c r="FF6" i="32"/>
  <c r="FG6" i="32"/>
  <c r="FH6" i="32"/>
  <c r="FI6" i="32"/>
  <c r="FJ6" i="32"/>
  <c r="FK6" i="32"/>
  <c r="FL6" i="32"/>
  <c r="FM6" i="32"/>
  <c r="FN6" i="32"/>
  <c r="FO6" i="32"/>
  <c r="FP6" i="32"/>
  <c r="FQ6" i="32"/>
  <c r="FR6" i="32"/>
  <c r="FS6" i="32"/>
  <c r="FT6" i="32"/>
  <c r="FU6" i="32"/>
  <c r="FV6" i="32"/>
  <c r="FW6" i="32"/>
  <c r="FX6" i="32"/>
  <c r="FY6" i="32"/>
  <c r="FZ6" i="32"/>
  <c r="GA6" i="32"/>
  <c r="GB6" i="32"/>
  <c r="GC6" i="32"/>
  <c r="GD6" i="32"/>
  <c r="GE6" i="32"/>
  <c r="GF6" i="32"/>
  <c r="GG6" i="32"/>
  <c r="GH6" i="32"/>
  <c r="GI6" i="32"/>
  <c r="GJ6" i="32"/>
  <c r="GK6" i="32"/>
  <c r="GL6" i="32"/>
  <c r="GM6" i="32"/>
  <c r="GN6" i="32"/>
  <c r="GO6" i="32"/>
  <c r="GP6" i="32"/>
  <c r="GQ6" i="32"/>
  <c r="GR6" i="32"/>
  <c r="GS6" i="32"/>
  <c r="GT6" i="32"/>
  <c r="GU6" i="32"/>
  <c r="GV6" i="32"/>
  <c r="GW6" i="32"/>
  <c r="GX6" i="32"/>
  <c r="GY6" i="32"/>
  <c r="GZ6" i="32"/>
  <c r="HA6" i="32"/>
  <c r="HB6" i="32"/>
  <c r="HC6" i="32"/>
  <c r="HD6" i="32"/>
  <c r="HE6" i="32"/>
  <c r="HF6" i="32"/>
  <c r="HG6" i="32"/>
  <c r="HH6" i="32"/>
  <c r="HI6" i="32"/>
  <c r="HJ6" i="32"/>
  <c r="HK6" i="32"/>
  <c r="HL6" i="32"/>
  <c r="HM6" i="32"/>
  <c r="HN6" i="32"/>
  <c r="HO6" i="32"/>
  <c r="HP6" i="32"/>
  <c r="HQ6" i="32"/>
  <c r="HR6" i="32"/>
  <c r="HS6" i="32"/>
  <c r="HT6" i="32"/>
  <c r="HU6" i="32"/>
  <c r="HV6" i="32"/>
  <c r="HW6" i="32"/>
  <c r="HX6" i="32"/>
  <c r="HY6" i="32"/>
  <c r="HZ6" i="32"/>
  <c r="IA6" i="32"/>
  <c r="IB6" i="32"/>
  <c r="IC6" i="32"/>
  <c r="ID6" i="32"/>
  <c r="IE6" i="32"/>
  <c r="IF6" i="32"/>
  <c r="IG6" i="32"/>
  <c r="IH6" i="32"/>
  <c r="II6" i="32"/>
  <c r="IJ6" i="32"/>
  <c r="IK6" i="32"/>
  <c r="IL6" i="32"/>
  <c r="IM6" i="32"/>
  <c r="IN6" i="32"/>
  <c r="IO6" i="32"/>
  <c r="IP6" i="32"/>
  <c r="IQ6" i="32"/>
  <c r="IR6" i="32"/>
  <c r="IS6" i="32"/>
  <c r="IT6" i="32"/>
  <c r="IU6" i="32"/>
  <c r="IV6" i="32"/>
  <c r="A5" i="32"/>
  <c r="B5" i="32"/>
  <c r="C5" i="32"/>
  <c r="D5" i="32"/>
  <c r="E5" i="32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W5" i="32"/>
  <c r="X5" i="32"/>
  <c r="Y5" i="32"/>
  <c r="Z5" i="32"/>
  <c r="AA5" i="32"/>
  <c r="AB5" i="32"/>
  <c r="AC5" i="32"/>
  <c r="AD5" i="32"/>
  <c r="AE5" i="32"/>
  <c r="AF5" i="32"/>
  <c r="AG5" i="32"/>
  <c r="AH5" i="32"/>
  <c r="AI5" i="32"/>
  <c r="AJ5" i="32"/>
  <c r="AK5" i="32"/>
  <c r="AL5" i="32"/>
  <c r="AM5" i="32"/>
  <c r="AN5" i="32"/>
  <c r="AO5" i="32"/>
  <c r="AP5" i="32"/>
  <c r="AQ5" i="32"/>
  <c r="AR5" i="32"/>
  <c r="AS5" i="32"/>
  <c r="AT5" i="32"/>
  <c r="AU5" i="32"/>
  <c r="AV5" i="32"/>
  <c r="AW5" i="32"/>
  <c r="AX5" i="32"/>
  <c r="AY5" i="32"/>
  <c r="AZ5" i="32"/>
  <c r="BA5" i="32"/>
  <c r="BB5" i="32"/>
  <c r="BC5" i="32"/>
  <c r="BD5" i="32"/>
  <c r="BE5" i="32"/>
  <c r="BF5" i="32"/>
  <c r="BG5" i="32"/>
  <c r="BH5" i="32"/>
  <c r="BI5" i="32"/>
  <c r="BJ5" i="32"/>
  <c r="BK5" i="32"/>
  <c r="BL5" i="32"/>
  <c r="BM5" i="32"/>
  <c r="BN5" i="32"/>
  <c r="BO5" i="32"/>
  <c r="BP5" i="32"/>
  <c r="BQ5" i="32"/>
  <c r="BR5" i="32"/>
  <c r="BS5" i="32"/>
  <c r="BT5" i="32"/>
  <c r="BU5" i="32"/>
  <c r="BV5" i="32"/>
  <c r="BW5" i="32"/>
  <c r="BX5" i="32"/>
  <c r="BY5" i="32"/>
  <c r="BZ5" i="32"/>
  <c r="CA5" i="32"/>
  <c r="CB5" i="32"/>
  <c r="CC5" i="32"/>
  <c r="CD5" i="32"/>
  <c r="CE5" i="32"/>
  <c r="CF5" i="32"/>
  <c r="CG5" i="32"/>
  <c r="CH5" i="32"/>
  <c r="CI5" i="32"/>
  <c r="CJ5" i="32"/>
  <c r="CK5" i="32"/>
  <c r="CL5" i="32"/>
  <c r="CM5" i="32"/>
  <c r="CN5" i="32"/>
  <c r="CO5" i="32"/>
  <c r="CP5" i="32"/>
  <c r="CQ5" i="32"/>
  <c r="CR5" i="32"/>
  <c r="CS5" i="32"/>
  <c r="CT5" i="32"/>
  <c r="CU5" i="32"/>
  <c r="CV5" i="32"/>
  <c r="CW5" i="32"/>
  <c r="CX5" i="32"/>
  <c r="CY5" i="32"/>
  <c r="CZ5" i="32"/>
  <c r="DA5" i="32"/>
  <c r="DB5" i="32"/>
  <c r="DC5" i="32"/>
  <c r="DD5" i="32"/>
  <c r="DE5" i="32"/>
  <c r="DF5" i="32"/>
  <c r="DG5" i="32"/>
  <c r="DH5" i="32"/>
  <c r="DI5" i="32"/>
  <c r="DJ5" i="32"/>
  <c r="DK5" i="32"/>
  <c r="DL5" i="32"/>
  <c r="DM5" i="32"/>
  <c r="DN5" i="32"/>
  <c r="DO5" i="32"/>
  <c r="DP5" i="32"/>
  <c r="DQ5" i="32"/>
  <c r="DR5" i="32"/>
  <c r="DS5" i="32"/>
  <c r="DT5" i="32"/>
  <c r="DU5" i="32"/>
  <c r="DV5" i="32"/>
  <c r="DW5" i="32"/>
  <c r="DX5" i="32"/>
  <c r="DY5" i="32"/>
  <c r="DZ5" i="32"/>
  <c r="EA5" i="32"/>
  <c r="EB5" i="32"/>
  <c r="EC5" i="32"/>
  <c r="ED5" i="32"/>
  <c r="EE5" i="32"/>
  <c r="EF5" i="32"/>
  <c r="EG5" i="32"/>
  <c r="EH5" i="32"/>
  <c r="EI5" i="32"/>
  <c r="EJ5" i="32"/>
  <c r="EK5" i="32"/>
  <c r="EL5" i="32"/>
  <c r="EM5" i="32"/>
  <c r="EN5" i="32"/>
  <c r="EO5" i="32"/>
  <c r="EP5" i="32"/>
  <c r="EQ5" i="32"/>
  <c r="ER5" i="32"/>
  <c r="ES5" i="32"/>
  <c r="ET5" i="32"/>
  <c r="EU5" i="32"/>
  <c r="EV5" i="32"/>
  <c r="EW5" i="32"/>
  <c r="EX5" i="32"/>
  <c r="EY5" i="32"/>
  <c r="EZ5" i="32"/>
  <c r="FA5" i="32"/>
  <c r="FB5" i="32"/>
  <c r="FC5" i="32"/>
  <c r="FD5" i="32"/>
  <c r="FE5" i="32"/>
  <c r="FF5" i="32"/>
  <c r="FG5" i="32"/>
  <c r="FH5" i="32"/>
  <c r="FI5" i="32"/>
  <c r="FJ5" i="32"/>
  <c r="FK5" i="32"/>
  <c r="FL5" i="32"/>
  <c r="FM5" i="32"/>
  <c r="FN5" i="32"/>
  <c r="FO5" i="32"/>
  <c r="FP5" i="32"/>
  <c r="FQ5" i="32"/>
  <c r="FR5" i="32"/>
  <c r="FS5" i="32"/>
  <c r="FT5" i="32"/>
  <c r="FU5" i="32"/>
  <c r="FV5" i="32"/>
  <c r="FW5" i="32"/>
  <c r="FX5" i="32"/>
  <c r="FY5" i="32"/>
  <c r="FZ5" i="32"/>
  <c r="GA5" i="32"/>
  <c r="GB5" i="32"/>
  <c r="GC5" i="32"/>
  <c r="GD5" i="32"/>
  <c r="GE5" i="32"/>
  <c r="GF5" i="32"/>
  <c r="GG5" i="32"/>
  <c r="GH5" i="32"/>
  <c r="GI5" i="32"/>
  <c r="GJ5" i="32"/>
  <c r="GK5" i="32"/>
  <c r="GL5" i="32"/>
  <c r="GM5" i="32"/>
  <c r="GN5" i="32"/>
  <c r="GO5" i="32"/>
  <c r="GP5" i="32"/>
  <c r="GQ5" i="32"/>
  <c r="GR5" i="32"/>
  <c r="GS5" i="32"/>
  <c r="GT5" i="32"/>
  <c r="GU5" i="32"/>
  <c r="GV5" i="32"/>
  <c r="GW5" i="32"/>
  <c r="GX5" i="32"/>
  <c r="GY5" i="32"/>
  <c r="GZ5" i="32"/>
  <c r="HA5" i="32"/>
  <c r="HB5" i="32"/>
  <c r="HC5" i="32"/>
  <c r="HD5" i="32"/>
  <c r="HE5" i="32"/>
  <c r="HF5" i="32"/>
  <c r="HG5" i="32"/>
  <c r="HH5" i="32"/>
  <c r="HI5" i="32"/>
  <c r="HJ5" i="32"/>
  <c r="HK5" i="32"/>
  <c r="HL5" i="32"/>
  <c r="HM5" i="32"/>
  <c r="HN5" i="32"/>
  <c r="HO5" i="32"/>
  <c r="HP5" i="32"/>
  <c r="HQ5" i="32"/>
  <c r="HR5" i="32"/>
  <c r="HS5" i="32"/>
  <c r="HT5" i="32"/>
  <c r="HU5" i="32"/>
  <c r="HV5" i="32"/>
  <c r="HW5" i="32"/>
  <c r="HX5" i="32"/>
  <c r="HY5" i="32"/>
  <c r="HZ5" i="32"/>
  <c r="IA5" i="32"/>
  <c r="IB5" i="32"/>
  <c r="IC5" i="32"/>
  <c r="ID5" i="32"/>
  <c r="IE5" i="32"/>
  <c r="IF5" i="32"/>
  <c r="IG5" i="32"/>
  <c r="IH5" i="32"/>
  <c r="II5" i="32"/>
  <c r="IJ5" i="32"/>
  <c r="IK5" i="32"/>
  <c r="IL5" i="32"/>
  <c r="IM5" i="32"/>
  <c r="IN5" i="32"/>
  <c r="IO5" i="32"/>
  <c r="IP5" i="32"/>
  <c r="IQ5" i="32"/>
  <c r="IR5" i="32"/>
  <c r="IS5" i="32"/>
  <c r="IT5" i="32"/>
  <c r="IU5" i="32"/>
  <c r="IV5" i="32"/>
  <c r="A4" i="32"/>
  <c r="B4" i="32"/>
  <c r="C4" i="32"/>
  <c r="D4" i="32"/>
  <c r="E4" i="32"/>
  <c r="F4" i="32"/>
  <c r="G4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U4" i="32"/>
  <c r="V4" i="32"/>
  <c r="W4" i="32"/>
  <c r="X4" i="32"/>
  <c r="Y4" i="32"/>
  <c r="Z4" i="32"/>
  <c r="AA4" i="32"/>
  <c r="AB4" i="32"/>
  <c r="AC4" i="32"/>
  <c r="AD4" i="32"/>
  <c r="AE4" i="32"/>
  <c r="AF4" i="32"/>
  <c r="AG4" i="32"/>
  <c r="AH4" i="32"/>
  <c r="AI4" i="32"/>
  <c r="AJ4" i="32"/>
  <c r="AK4" i="32"/>
  <c r="AL4" i="32"/>
  <c r="AM4" i="32"/>
  <c r="AN4" i="32"/>
  <c r="AO4" i="32"/>
  <c r="AP4" i="32"/>
  <c r="AQ4" i="32"/>
  <c r="AR4" i="32"/>
  <c r="AS4" i="32"/>
  <c r="AT4" i="32"/>
  <c r="AU4" i="32"/>
  <c r="AV4" i="32"/>
  <c r="AW4" i="32"/>
  <c r="AX4" i="32"/>
  <c r="AY4" i="32"/>
  <c r="AZ4" i="32"/>
  <c r="BA4" i="32"/>
  <c r="BB4" i="32"/>
  <c r="BC4" i="32"/>
  <c r="BD4" i="32"/>
  <c r="BE4" i="32"/>
  <c r="BF4" i="32"/>
  <c r="BG4" i="32"/>
  <c r="BH4" i="32"/>
  <c r="BI4" i="32"/>
  <c r="BJ4" i="32"/>
  <c r="BK4" i="32"/>
  <c r="BL4" i="32"/>
  <c r="BM4" i="32"/>
  <c r="BN4" i="32"/>
  <c r="BO4" i="32"/>
  <c r="BP4" i="32"/>
  <c r="BQ4" i="32"/>
  <c r="BR4" i="32"/>
  <c r="BS4" i="32"/>
  <c r="BT4" i="32"/>
  <c r="BU4" i="32"/>
  <c r="BV4" i="32"/>
  <c r="BW4" i="32"/>
  <c r="BX4" i="32"/>
  <c r="BY4" i="32"/>
  <c r="BZ4" i="32"/>
  <c r="CA4" i="32"/>
  <c r="CB4" i="32"/>
  <c r="CC4" i="32"/>
  <c r="CD4" i="32"/>
  <c r="CE4" i="32"/>
  <c r="CF4" i="32"/>
  <c r="CG4" i="32"/>
  <c r="CH4" i="32"/>
  <c r="CI4" i="32"/>
  <c r="CJ4" i="32"/>
  <c r="CK4" i="32"/>
  <c r="CL4" i="32"/>
  <c r="CM4" i="32"/>
  <c r="CN4" i="32"/>
  <c r="CO4" i="32"/>
  <c r="CP4" i="32"/>
  <c r="CQ4" i="32"/>
  <c r="CR4" i="32"/>
  <c r="CS4" i="32"/>
  <c r="CT4" i="32"/>
  <c r="CU4" i="32"/>
  <c r="CV4" i="32"/>
  <c r="CW4" i="32"/>
  <c r="CX4" i="32"/>
  <c r="CY4" i="32"/>
  <c r="CZ4" i="32"/>
  <c r="DA4" i="32"/>
  <c r="DB4" i="32"/>
  <c r="DC4" i="32"/>
  <c r="DD4" i="32"/>
  <c r="DE4" i="32"/>
  <c r="DF4" i="32"/>
  <c r="DG4" i="32"/>
  <c r="DH4" i="32"/>
  <c r="DI4" i="32"/>
  <c r="DJ4" i="32"/>
  <c r="DK4" i="32"/>
  <c r="DL4" i="32"/>
  <c r="DM4" i="32"/>
  <c r="DN4" i="32"/>
  <c r="DO4" i="32"/>
  <c r="DP4" i="32"/>
  <c r="DQ4" i="32"/>
  <c r="DR4" i="32"/>
  <c r="DS4" i="32"/>
  <c r="DT4" i="32"/>
  <c r="DU4" i="32"/>
  <c r="DV4" i="32"/>
  <c r="DW4" i="32"/>
  <c r="DX4" i="32"/>
  <c r="DY4" i="32"/>
  <c r="DZ4" i="32"/>
  <c r="EA4" i="32"/>
  <c r="EB4" i="32"/>
  <c r="EC4" i="32"/>
  <c r="ED4" i="32"/>
  <c r="EE4" i="32"/>
  <c r="EF4" i="32"/>
  <c r="EG4" i="32"/>
  <c r="EH4" i="32"/>
  <c r="EI4" i="32"/>
  <c r="EJ4" i="32"/>
  <c r="EK4" i="32"/>
  <c r="EL4" i="32"/>
  <c r="EM4" i="32"/>
  <c r="EN4" i="32"/>
  <c r="EO4" i="32"/>
  <c r="EP4" i="32"/>
  <c r="EQ4" i="32"/>
  <c r="ER4" i="32"/>
  <c r="ES4" i="32"/>
  <c r="ET4" i="32"/>
  <c r="EU4" i="32"/>
  <c r="EV4" i="32"/>
  <c r="EW4" i="32"/>
  <c r="EX4" i="32"/>
  <c r="EY4" i="32"/>
  <c r="EZ4" i="32"/>
  <c r="FA4" i="32"/>
  <c r="FB4" i="32"/>
  <c r="FC4" i="32"/>
  <c r="FD4" i="32"/>
  <c r="FE4" i="32"/>
  <c r="FF4" i="32"/>
  <c r="FG4" i="32"/>
  <c r="FH4" i="32"/>
  <c r="FI4" i="32"/>
  <c r="FJ4" i="32"/>
  <c r="FK4" i="32"/>
  <c r="FL4" i="32"/>
  <c r="FM4" i="32"/>
  <c r="FN4" i="32"/>
  <c r="FO4" i="32"/>
  <c r="FP4" i="32"/>
  <c r="FQ4" i="32"/>
  <c r="FR4" i="32"/>
  <c r="FS4" i="32"/>
  <c r="FT4" i="32"/>
  <c r="FU4" i="32"/>
  <c r="FV4" i="32"/>
  <c r="FW4" i="32"/>
  <c r="FX4" i="32"/>
  <c r="FY4" i="32"/>
  <c r="FZ4" i="32"/>
  <c r="GA4" i="32"/>
  <c r="GB4" i="32"/>
  <c r="GC4" i="32"/>
  <c r="GD4" i="32"/>
  <c r="GE4" i="32"/>
  <c r="GF4" i="32"/>
  <c r="GG4" i="32"/>
  <c r="GH4" i="32"/>
  <c r="GI4" i="32"/>
  <c r="GJ4" i="32"/>
  <c r="GK4" i="32"/>
  <c r="GL4" i="32"/>
  <c r="GM4" i="32"/>
  <c r="GN4" i="32"/>
  <c r="GO4" i="32"/>
  <c r="GP4" i="32"/>
  <c r="GQ4" i="32"/>
  <c r="GR4" i="32"/>
  <c r="GS4" i="32"/>
  <c r="GT4" i="32"/>
  <c r="GU4" i="32"/>
  <c r="GV4" i="32"/>
  <c r="GW4" i="32"/>
  <c r="GX4" i="32"/>
  <c r="GY4" i="32"/>
  <c r="GZ4" i="32"/>
  <c r="HA4" i="32"/>
  <c r="HB4" i="32"/>
  <c r="HC4" i="32"/>
  <c r="HD4" i="32"/>
  <c r="HE4" i="32"/>
  <c r="HF4" i="32"/>
  <c r="HG4" i="32"/>
  <c r="HH4" i="32"/>
  <c r="HI4" i="32"/>
  <c r="HJ4" i="32"/>
  <c r="HK4" i="32"/>
  <c r="HL4" i="32"/>
  <c r="HM4" i="32"/>
  <c r="HN4" i="32"/>
  <c r="HO4" i="32"/>
  <c r="HP4" i="32"/>
  <c r="HQ4" i="32"/>
  <c r="HR4" i="32"/>
  <c r="HS4" i="32"/>
  <c r="HT4" i="32"/>
  <c r="HU4" i="32"/>
  <c r="HV4" i="32"/>
  <c r="HW4" i="32"/>
  <c r="HX4" i="32"/>
  <c r="HY4" i="32"/>
  <c r="HZ4" i="32"/>
  <c r="IA4" i="32"/>
  <c r="IB4" i="32"/>
  <c r="IC4" i="32"/>
  <c r="ID4" i="32"/>
  <c r="IE4" i="32"/>
  <c r="IF4" i="32"/>
  <c r="IG4" i="32"/>
  <c r="IH4" i="32"/>
  <c r="II4" i="32"/>
  <c r="IJ4" i="32"/>
  <c r="IK4" i="32"/>
  <c r="IL4" i="32"/>
  <c r="IM4" i="32"/>
  <c r="IN4" i="32"/>
  <c r="IO4" i="32"/>
  <c r="IP4" i="32"/>
  <c r="IQ4" i="32"/>
  <c r="IR4" i="32"/>
  <c r="IS4" i="32"/>
  <c r="IT4" i="32"/>
  <c r="IU4" i="32"/>
  <c r="IV4" i="32"/>
  <c r="A3" i="32"/>
  <c r="B3" i="32"/>
  <c r="C3" i="32"/>
  <c r="D3" i="32"/>
  <c r="E3" i="32"/>
  <c r="F3" i="32"/>
  <c r="G3" i="32"/>
  <c r="H3" i="32"/>
  <c r="I3" i="32"/>
  <c r="J3" i="32"/>
  <c r="K3" i="32"/>
  <c r="L3" i="32"/>
  <c r="M3" i="32"/>
  <c r="N3" i="32"/>
  <c r="O3" i="32"/>
  <c r="P3" i="32"/>
  <c r="Q3" i="32"/>
  <c r="R3" i="32"/>
  <c r="S3" i="32"/>
  <c r="T3" i="32"/>
  <c r="U3" i="32"/>
  <c r="V3" i="32"/>
  <c r="W3" i="32"/>
  <c r="X3" i="32"/>
  <c r="Y3" i="32"/>
  <c r="Z3" i="32"/>
  <c r="AA3" i="32"/>
  <c r="AB3" i="32"/>
  <c r="AC3" i="32"/>
  <c r="AD3" i="32"/>
  <c r="AE3" i="32"/>
  <c r="AF3" i="32"/>
  <c r="AG3" i="32"/>
  <c r="AH3" i="32"/>
  <c r="AI3" i="32"/>
  <c r="AJ3" i="32"/>
  <c r="AK3" i="32"/>
  <c r="AL3" i="32"/>
  <c r="AM3" i="32"/>
  <c r="AN3" i="32"/>
  <c r="AO3" i="32"/>
  <c r="AP3" i="32"/>
  <c r="AQ3" i="32"/>
  <c r="AR3" i="32"/>
  <c r="AS3" i="32"/>
  <c r="AT3" i="32"/>
  <c r="AU3" i="32"/>
  <c r="AV3" i="32"/>
  <c r="AW3" i="32"/>
  <c r="AX3" i="32"/>
  <c r="AY3" i="32"/>
  <c r="AZ3" i="32"/>
  <c r="BA3" i="32"/>
  <c r="BB3" i="32"/>
  <c r="BC3" i="32"/>
  <c r="BD3" i="32"/>
  <c r="BE3" i="32"/>
  <c r="BF3" i="32"/>
  <c r="BG3" i="32"/>
  <c r="BH3" i="32"/>
  <c r="BI3" i="32"/>
  <c r="BJ3" i="32"/>
  <c r="BK3" i="32"/>
  <c r="BL3" i="32"/>
  <c r="BM3" i="32"/>
  <c r="BN3" i="32"/>
  <c r="BO3" i="32"/>
  <c r="BP3" i="32"/>
  <c r="BQ3" i="32"/>
  <c r="BR3" i="32"/>
  <c r="BS3" i="32"/>
  <c r="BT3" i="32"/>
  <c r="BU3" i="32"/>
  <c r="BV3" i="32"/>
  <c r="BW3" i="32"/>
  <c r="BX3" i="32"/>
  <c r="BY3" i="32"/>
  <c r="BZ3" i="32"/>
  <c r="CA3" i="32"/>
  <c r="CB3" i="32"/>
  <c r="CC3" i="32"/>
  <c r="CD3" i="32"/>
  <c r="CE3" i="32"/>
  <c r="CF3" i="32"/>
  <c r="CG3" i="32"/>
  <c r="CH3" i="32"/>
  <c r="CI3" i="32"/>
  <c r="CJ3" i="32"/>
  <c r="CK3" i="32"/>
  <c r="CL3" i="32"/>
  <c r="CM3" i="32"/>
  <c r="CN3" i="32"/>
  <c r="CO3" i="32"/>
  <c r="CP3" i="32"/>
  <c r="CQ3" i="32"/>
  <c r="CR3" i="32"/>
  <c r="CS3" i="32"/>
  <c r="CT3" i="32"/>
  <c r="CU3" i="32"/>
  <c r="CV3" i="32"/>
  <c r="CW3" i="32"/>
  <c r="CX3" i="32"/>
  <c r="CY3" i="32"/>
  <c r="CZ3" i="32"/>
  <c r="DA3" i="32"/>
  <c r="DB3" i="32"/>
  <c r="DC3" i="32"/>
  <c r="DD3" i="32"/>
  <c r="DE3" i="32"/>
  <c r="DF3" i="32"/>
  <c r="DG3" i="32"/>
  <c r="DH3" i="32"/>
  <c r="DI3" i="32"/>
  <c r="DJ3" i="32"/>
  <c r="DK3" i="32"/>
  <c r="DL3" i="32"/>
  <c r="DM3" i="32"/>
  <c r="DN3" i="32"/>
  <c r="DO3" i="32"/>
  <c r="DP3" i="32"/>
  <c r="DQ3" i="32"/>
  <c r="DR3" i="32"/>
  <c r="DS3" i="32"/>
  <c r="DT3" i="32"/>
  <c r="DU3" i="32"/>
  <c r="DV3" i="32"/>
  <c r="DW3" i="32"/>
  <c r="DX3" i="32"/>
  <c r="DY3" i="32"/>
  <c r="DZ3" i="32"/>
  <c r="EA3" i="32"/>
  <c r="EB3" i="32"/>
  <c r="EC3" i="32"/>
  <c r="ED3" i="32"/>
  <c r="EE3" i="32"/>
  <c r="EF3" i="32"/>
  <c r="EG3" i="32"/>
  <c r="EH3" i="32"/>
  <c r="EI3" i="32"/>
  <c r="EJ3" i="32"/>
  <c r="EK3" i="32"/>
  <c r="EL3" i="32"/>
  <c r="EM3" i="32"/>
  <c r="EN3" i="32"/>
  <c r="EO3" i="32"/>
  <c r="EP3" i="32"/>
  <c r="EQ3" i="32"/>
  <c r="ER3" i="32"/>
  <c r="ES3" i="32"/>
  <c r="ET3" i="32"/>
  <c r="EU3" i="32"/>
  <c r="EV3" i="32"/>
  <c r="EW3" i="32"/>
  <c r="EX3" i="32"/>
  <c r="EY3" i="32"/>
  <c r="EZ3" i="32"/>
  <c r="FA3" i="32"/>
  <c r="FB3" i="32"/>
  <c r="FC3" i="32"/>
  <c r="FD3" i="32"/>
  <c r="FE3" i="32"/>
  <c r="FF3" i="32"/>
  <c r="FG3" i="32"/>
  <c r="FH3" i="32"/>
  <c r="FI3" i="32"/>
  <c r="FJ3" i="32"/>
  <c r="FK3" i="32"/>
  <c r="FL3" i="32"/>
  <c r="FM3" i="32"/>
  <c r="FN3" i="32"/>
  <c r="FO3" i="32"/>
  <c r="FP3" i="32"/>
  <c r="FQ3" i="32"/>
  <c r="FR3" i="32"/>
  <c r="FS3" i="32"/>
  <c r="FT3" i="32"/>
  <c r="FU3" i="32"/>
  <c r="FV3" i="32"/>
  <c r="FW3" i="32"/>
  <c r="FX3" i="32"/>
  <c r="FY3" i="32"/>
  <c r="FZ3" i="32"/>
  <c r="GA3" i="32"/>
  <c r="GB3" i="32"/>
  <c r="GC3" i="32"/>
  <c r="GD3" i="32"/>
  <c r="GE3" i="32"/>
  <c r="GF3" i="32"/>
  <c r="GG3" i="32"/>
  <c r="GH3" i="32"/>
  <c r="GI3" i="32"/>
  <c r="GJ3" i="32"/>
  <c r="GK3" i="32"/>
  <c r="GL3" i="32"/>
  <c r="GM3" i="32"/>
  <c r="GN3" i="32"/>
  <c r="GO3" i="32"/>
  <c r="GP3" i="32"/>
  <c r="GQ3" i="32"/>
  <c r="GR3" i="32"/>
  <c r="GS3" i="32"/>
  <c r="GT3" i="32"/>
  <c r="GU3" i="32"/>
  <c r="GV3" i="32"/>
  <c r="GW3" i="32"/>
  <c r="GX3" i="32"/>
  <c r="GY3" i="32"/>
  <c r="GZ3" i="32"/>
  <c r="HA3" i="32"/>
  <c r="HB3" i="32"/>
  <c r="HC3" i="32"/>
  <c r="HD3" i="32"/>
  <c r="HE3" i="32"/>
  <c r="HF3" i="32"/>
  <c r="HG3" i="32"/>
  <c r="HH3" i="32"/>
  <c r="HI3" i="32"/>
  <c r="HJ3" i="32"/>
  <c r="HK3" i="32"/>
  <c r="HL3" i="32"/>
  <c r="HM3" i="32"/>
  <c r="HN3" i="32"/>
  <c r="HO3" i="32"/>
  <c r="HP3" i="32"/>
  <c r="HQ3" i="32"/>
  <c r="HR3" i="32"/>
  <c r="HS3" i="32"/>
  <c r="HT3" i="32"/>
  <c r="HU3" i="32"/>
  <c r="HV3" i="32"/>
  <c r="HW3" i="32"/>
  <c r="HX3" i="32"/>
  <c r="HY3" i="32"/>
  <c r="HZ3" i="32"/>
  <c r="IA3" i="32"/>
  <c r="IB3" i="32"/>
  <c r="IC3" i="32"/>
  <c r="ID3" i="32"/>
  <c r="IE3" i="32"/>
  <c r="IF3" i="32"/>
  <c r="IG3" i="32"/>
  <c r="IH3" i="32"/>
  <c r="II3" i="32"/>
  <c r="IJ3" i="32"/>
  <c r="IK3" i="32"/>
  <c r="IL3" i="32"/>
  <c r="IM3" i="32"/>
  <c r="IN3" i="32"/>
  <c r="IO3" i="32"/>
  <c r="IP3" i="32"/>
  <c r="IQ3" i="32"/>
  <c r="IR3" i="32"/>
  <c r="IS3" i="32"/>
  <c r="IT3" i="32"/>
  <c r="IU3" i="32"/>
  <c r="IV3" i="32"/>
  <c r="A2" i="32"/>
  <c r="B2" i="32"/>
  <c r="C2" i="32"/>
  <c r="D2" i="32"/>
  <c r="E2" i="32"/>
  <c r="F2" i="32"/>
  <c r="G2" i="32"/>
  <c r="H2" i="32"/>
  <c r="I2" i="32"/>
  <c r="J2" i="32"/>
  <c r="K2" i="32"/>
  <c r="L2" i="32"/>
  <c r="M2" i="32"/>
  <c r="N2" i="32"/>
  <c r="O2" i="32"/>
  <c r="P2" i="32"/>
  <c r="Q2" i="32"/>
  <c r="R2" i="32"/>
  <c r="S2" i="32"/>
  <c r="T2" i="32"/>
  <c r="U2" i="32"/>
  <c r="V2" i="32"/>
  <c r="W2" i="32"/>
  <c r="X2" i="32"/>
  <c r="Y2" i="32"/>
  <c r="Z2" i="32"/>
  <c r="AA2" i="32"/>
  <c r="AB2" i="32"/>
  <c r="AC2" i="32"/>
  <c r="AD2" i="32"/>
  <c r="AE2" i="32"/>
  <c r="AF2" i="32"/>
  <c r="AG2" i="32"/>
  <c r="AH2" i="32"/>
  <c r="AI2" i="32"/>
  <c r="AJ2" i="32"/>
  <c r="AK2" i="32"/>
  <c r="AL2" i="32"/>
  <c r="AM2" i="32"/>
  <c r="AN2" i="32"/>
  <c r="AO2" i="32"/>
  <c r="AP2" i="32"/>
  <c r="AQ2" i="32"/>
  <c r="AR2" i="32"/>
  <c r="AS2" i="32"/>
  <c r="AT2" i="32"/>
  <c r="AU2" i="32"/>
  <c r="AV2" i="32"/>
  <c r="AW2" i="32"/>
  <c r="AX2" i="32"/>
  <c r="AY2" i="32"/>
  <c r="AZ2" i="32"/>
  <c r="BA2" i="32"/>
  <c r="BB2" i="32"/>
  <c r="BC2" i="32"/>
  <c r="BD2" i="32"/>
  <c r="BE2" i="32"/>
  <c r="BF2" i="32"/>
  <c r="BG2" i="32"/>
  <c r="BH2" i="32"/>
  <c r="BI2" i="32"/>
  <c r="BJ2" i="32"/>
  <c r="BK2" i="32"/>
  <c r="BL2" i="32"/>
  <c r="BM2" i="32"/>
  <c r="BN2" i="32"/>
  <c r="BO2" i="32"/>
  <c r="BP2" i="32"/>
  <c r="BQ2" i="32"/>
  <c r="BR2" i="32"/>
  <c r="BS2" i="32"/>
  <c r="BT2" i="32"/>
  <c r="BU2" i="32"/>
  <c r="BV2" i="32"/>
  <c r="BW2" i="32"/>
  <c r="BX2" i="32"/>
  <c r="BY2" i="32"/>
  <c r="BZ2" i="32"/>
  <c r="CA2" i="32"/>
  <c r="CB2" i="32"/>
  <c r="CC2" i="32"/>
  <c r="CD2" i="32"/>
  <c r="CE2" i="32"/>
  <c r="CF2" i="32"/>
  <c r="CG2" i="32"/>
  <c r="CH2" i="32"/>
  <c r="CI2" i="32"/>
  <c r="CJ2" i="32"/>
  <c r="CK2" i="32"/>
  <c r="CL2" i="32"/>
  <c r="CM2" i="32"/>
  <c r="CN2" i="32"/>
  <c r="CO2" i="32"/>
  <c r="CP2" i="32"/>
  <c r="CQ2" i="32"/>
  <c r="CR2" i="32"/>
  <c r="CS2" i="32"/>
  <c r="CT2" i="32"/>
  <c r="CU2" i="32"/>
  <c r="CV2" i="32"/>
  <c r="CW2" i="32"/>
  <c r="CX2" i="32"/>
  <c r="CY2" i="32"/>
  <c r="CZ2" i="32"/>
  <c r="DA2" i="32"/>
  <c r="DB2" i="32"/>
  <c r="DC2" i="32"/>
  <c r="DD2" i="32"/>
  <c r="DE2" i="32"/>
  <c r="DF2" i="32"/>
  <c r="DG2" i="32"/>
  <c r="DH2" i="32"/>
  <c r="DI2" i="32"/>
  <c r="DJ2" i="32"/>
  <c r="DK2" i="32"/>
  <c r="DL2" i="32"/>
  <c r="DM2" i="32"/>
  <c r="DN2" i="32"/>
  <c r="DO2" i="32"/>
  <c r="DP2" i="32"/>
  <c r="DQ2" i="32"/>
  <c r="DR2" i="32"/>
  <c r="DS2" i="32"/>
  <c r="DT2" i="32"/>
  <c r="DU2" i="32"/>
  <c r="DV2" i="32"/>
  <c r="DW2" i="32"/>
  <c r="DX2" i="32"/>
  <c r="DY2" i="32"/>
  <c r="DZ2" i="32"/>
  <c r="EA2" i="32"/>
  <c r="EB2" i="32"/>
  <c r="EC2" i="32"/>
  <c r="ED2" i="32"/>
  <c r="EE2" i="32"/>
  <c r="EF2" i="32"/>
  <c r="EG2" i="32"/>
  <c r="EH2" i="32"/>
  <c r="EI2" i="32"/>
  <c r="EJ2" i="32"/>
  <c r="EK2" i="32"/>
  <c r="EL2" i="32"/>
  <c r="EM2" i="32"/>
  <c r="EN2" i="32"/>
  <c r="EO2" i="32"/>
  <c r="EP2" i="32"/>
  <c r="EQ2" i="32"/>
  <c r="ER2" i="32"/>
  <c r="ES2" i="32"/>
  <c r="ET2" i="32"/>
  <c r="EU2" i="32"/>
  <c r="EV2" i="32"/>
  <c r="EW2" i="32"/>
  <c r="EX2" i="32"/>
  <c r="EY2" i="32"/>
  <c r="EZ2" i="32"/>
  <c r="FA2" i="32"/>
  <c r="FB2" i="32"/>
  <c r="FC2" i="32"/>
  <c r="FD2" i="32"/>
  <c r="FE2" i="32"/>
  <c r="FF2" i="32"/>
  <c r="FG2" i="32"/>
  <c r="FH2" i="32"/>
  <c r="FI2" i="32"/>
  <c r="FJ2" i="32"/>
  <c r="FK2" i="32"/>
  <c r="FL2" i="32"/>
  <c r="FM2" i="32"/>
  <c r="FN2" i="32"/>
  <c r="FO2" i="32"/>
  <c r="FP2" i="32"/>
  <c r="FQ2" i="32"/>
  <c r="FR2" i="32"/>
  <c r="FS2" i="32"/>
  <c r="FT2" i="32"/>
  <c r="FU2" i="32"/>
  <c r="FV2" i="32"/>
  <c r="FW2" i="32"/>
  <c r="FX2" i="32"/>
  <c r="FY2" i="32"/>
  <c r="FZ2" i="32"/>
  <c r="GA2" i="32"/>
  <c r="GB2" i="32"/>
  <c r="GC2" i="32"/>
  <c r="GD2" i="32"/>
  <c r="GE2" i="32"/>
  <c r="GF2" i="32"/>
  <c r="GG2" i="32"/>
  <c r="GH2" i="32"/>
  <c r="GI2" i="32"/>
  <c r="GJ2" i="32"/>
  <c r="GK2" i="32"/>
  <c r="GL2" i="32"/>
  <c r="GM2" i="32"/>
  <c r="GN2" i="32"/>
  <c r="GO2" i="32"/>
  <c r="GP2" i="32"/>
  <c r="GQ2" i="32"/>
  <c r="GR2" i="32"/>
  <c r="GS2" i="32"/>
  <c r="GT2" i="32"/>
  <c r="GU2" i="32"/>
  <c r="GV2" i="32"/>
  <c r="GW2" i="32"/>
  <c r="GX2" i="32"/>
  <c r="GY2" i="32"/>
  <c r="GZ2" i="32"/>
  <c r="HA2" i="32"/>
  <c r="HB2" i="32"/>
  <c r="HC2" i="32"/>
  <c r="HD2" i="32"/>
  <c r="HE2" i="32"/>
  <c r="HF2" i="32"/>
  <c r="HG2" i="32"/>
  <c r="HH2" i="32"/>
  <c r="HI2" i="32"/>
  <c r="HJ2" i="32"/>
  <c r="HK2" i="32"/>
  <c r="HL2" i="32"/>
  <c r="HM2" i="32"/>
  <c r="HN2" i="32"/>
  <c r="HO2" i="32"/>
  <c r="HP2" i="32"/>
  <c r="HQ2" i="32"/>
  <c r="HR2" i="32"/>
  <c r="HS2" i="32"/>
  <c r="HT2" i="32"/>
  <c r="HU2" i="32"/>
  <c r="HV2" i="32"/>
  <c r="HW2" i="32"/>
  <c r="HX2" i="32"/>
  <c r="HY2" i="32"/>
  <c r="HZ2" i="32"/>
  <c r="IA2" i="32"/>
  <c r="IB2" i="32"/>
  <c r="IC2" i="32"/>
  <c r="ID2" i="32"/>
  <c r="IE2" i="32"/>
  <c r="IF2" i="32"/>
  <c r="IG2" i="32"/>
  <c r="IH2" i="32"/>
  <c r="II2" i="32"/>
  <c r="IJ2" i="32"/>
  <c r="IK2" i="32"/>
  <c r="IL2" i="32"/>
  <c r="IM2" i="32"/>
  <c r="IN2" i="32"/>
  <c r="IO2" i="32"/>
  <c r="IP2" i="32"/>
  <c r="IQ2" i="32"/>
  <c r="IR2" i="32"/>
  <c r="IS2" i="32"/>
  <c r="IT2" i="32"/>
  <c r="IU2" i="32"/>
  <c r="IV2" i="32"/>
  <c r="A1" i="32"/>
  <c r="B1" i="32"/>
  <c r="C1" i="32"/>
  <c r="D1" i="32"/>
  <c r="E1" i="32"/>
  <c r="F1" i="32"/>
  <c r="G1" i="32"/>
  <c r="H1" i="32"/>
  <c r="I1" i="32"/>
  <c r="J1" i="32"/>
  <c r="K1" i="32"/>
  <c r="L1" i="32"/>
  <c r="M1" i="32"/>
  <c r="N1" i="32"/>
  <c r="O1" i="32"/>
  <c r="P1" i="32"/>
  <c r="Q1" i="32"/>
  <c r="R1" i="32"/>
  <c r="S1" i="32"/>
  <c r="T1" i="32"/>
  <c r="U1" i="32"/>
  <c r="V1" i="32"/>
  <c r="W1" i="32"/>
  <c r="X1" i="32"/>
  <c r="Y1" i="32"/>
  <c r="Z1" i="32"/>
  <c r="AA1" i="32"/>
  <c r="AB1" i="32"/>
  <c r="AC1" i="32"/>
  <c r="AD1" i="32"/>
  <c r="AE1" i="32"/>
  <c r="AF1" i="32"/>
  <c r="AG1" i="32"/>
  <c r="AH1" i="32"/>
  <c r="AI1" i="32"/>
  <c r="AJ1" i="32"/>
  <c r="AK1" i="32"/>
  <c r="AL1" i="32"/>
  <c r="AM1" i="32"/>
  <c r="AN1" i="32"/>
  <c r="AO1" i="32"/>
  <c r="AP1" i="32"/>
  <c r="AQ1" i="32"/>
  <c r="AR1" i="32"/>
  <c r="AS1" i="32"/>
  <c r="AT1" i="32"/>
  <c r="AU1" i="32"/>
  <c r="AV1" i="32"/>
  <c r="AW1" i="32"/>
  <c r="AX1" i="32"/>
  <c r="AY1" i="32"/>
  <c r="AZ1" i="32"/>
  <c r="BA1" i="32"/>
  <c r="BB1" i="32"/>
  <c r="BC1" i="32"/>
  <c r="BD1" i="32"/>
  <c r="BE1" i="32"/>
  <c r="BF1" i="32"/>
  <c r="BG1" i="32"/>
  <c r="BH1" i="32"/>
  <c r="BI1" i="32"/>
  <c r="BJ1" i="32"/>
  <c r="BK1" i="32"/>
  <c r="BL1" i="32"/>
  <c r="BM1" i="32"/>
  <c r="BN1" i="32"/>
  <c r="BO1" i="32"/>
  <c r="BP1" i="32"/>
  <c r="BQ1" i="32"/>
  <c r="BR1" i="32"/>
  <c r="BS1" i="32"/>
  <c r="BT1" i="32"/>
  <c r="BU1" i="32"/>
  <c r="BV1" i="32"/>
  <c r="BW1" i="32"/>
  <c r="BX1" i="32"/>
  <c r="BY1" i="32"/>
  <c r="BZ1" i="32"/>
  <c r="CA1" i="32"/>
  <c r="CB1" i="32"/>
  <c r="CC1" i="32"/>
  <c r="CD1" i="32"/>
  <c r="CE1" i="32"/>
  <c r="CF1" i="32"/>
  <c r="CG1" i="32"/>
  <c r="CH1" i="32"/>
  <c r="CI1" i="32"/>
  <c r="CJ1" i="32"/>
  <c r="CK1" i="32"/>
  <c r="CL1" i="32"/>
  <c r="CM1" i="32"/>
  <c r="CN1" i="32"/>
  <c r="CO1" i="32"/>
  <c r="CP1" i="32"/>
  <c r="CQ1" i="32"/>
  <c r="CR1" i="32"/>
  <c r="CS1" i="32"/>
  <c r="CT1" i="32"/>
  <c r="CU1" i="32"/>
  <c r="CV1" i="32"/>
  <c r="CW1" i="32"/>
  <c r="CX1" i="32"/>
  <c r="CY1" i="32"/>
  <c r="CZ1" i="32"/>
  <c r="DA1" i="32"/>
  <c r="DB1" i="32"/>
  <c r="DC1" i="32"/>
  <c r="DD1" i="32"/>
  <c r="DE1" i="32"/>
  <c r="DF1" i="32"/>
  <c r="DG1" i="32"/>
  <c r="DH1" i="32"/>
  <c r="DI1" i="32"/>
  <c r="DJ1" i="32"/>
  <c r="DK1" i="32"/>
  <c r="DL1" i="32"/>
  <c r="DM1" i="32"/>
  <c r="DN1" i="32"/>
  <c r="DO1" i="32"/>
  <c r="DP1" i="32"/>
  <c r="DQ1" i="32"/>
  <c r="DR1" i="32"/>
  <c r="DS1" i="32"/>
  <c r="DT1" i="32"/>
  <c r="DU1" i="32"/>
  <c r="DV1" i="32"/>
  <c r="DW1" i="32"/>
  <c r="DX1" i="32"/>
  <c r="DY1" i="32"/>
  <c r="DZ1" i="32"/>
  <c r="EA1" i="32"/>
  <c r="EB1" i="32"/>
  <c r="EC1" i="32"/>
  <c r="ED1" i="32"/>
  <c r="EE1" i="32"/>
  <c r="EF1" i="32"/>
  <c r="EG1" i="32"/>
  <c r="EH1" i="32"/>
  <c r="EI1" i="32"/>
  <c r="EJ1" i="32"/>
  <c r="EK1" i="32"/>
  <c r="EL1" i="32"/>
  <c r="EM1" i="32"/>
  <c r="EN1" i="32"/>
  <c r="EO1" i="32"/>
  <c r="EP1" i="32"/>
  <c r="EQ1" i="32"/>
  <c r="ER1" i="32"/>
  <c r="ES1" i="32"/>
  <c r="ET1" i="32"/>
  <c r="EU1" i="32"/>
  <c r="EV1" i="32"/>
  <c r="EW1" i="32"/>
  <c r="EX1" i="32"/>
  <c r="EY1" i="32"/>
  <c r="EZ1" i="32"/>
  <c r="FA1" i="32"/>
  <c r="FB1" i="32"/>
  <c r="FC1" i="32"/>
  <c r="FD1" i="32"/>
  <c r="FE1" i="32"/>
  <c r="FF1" i="32"/>
  <c r="FG1" i="32"/>
  <c r="FH1" i="32"/>
  <c r="FI1" i="32"/>
  <c r="FJ1" i="32"/>
  <c r="FK1" i="32"/>
  <c r="FL1" i="32"/>
  <c r="FM1" i="32"/>
  <c r="FN1" i="32"/>
  <c r="FO1" i="32"/>
  <c r="FP1" i="32"/>
  <c r="FQ1" i="32"/>
  <c r="FR1" i="32"/>
  <c r="FS1" i="32"/>
  <c r="FT1" i="32"/>
  <c r="FU1" i="32"/>
  <c r="FV1" i="32"/>
  <c r="FW1" i="32"/>
  <c r="FX1" i="32"/>
  <c r="FY1" i="32"/>
  <c r="FZ1" i="32"/>
  <c r="GA1" i="32"/>
  <c r="GB1" i="32"/>
  <c r="GC1" i="32"/>
  <c r="GD1" i="32"/>
  <c r="GE1" i="32"/>
  <c r="GF1" i="32"/>
  <c r="GG1" i="32"/>
  <c r="GH1" i="32"/>
  <c r="GI1" i="32"/>
  <c r="GJ1" i="32"/>
  <c r="GK1" i="32"/>
  <c r="GL1" i="32"/>
  <c r="GM1" i="32"/>
  <c r="GN1" i="32"/>
  <c r="GO1" i="32"/>
  <c r="GP1" i="32"/>
  <c r="GQ1" i="32"/>
  <c r="GR1" i="32"/>
  <c r="GS1" i="32"/>
  <c r="GT1" i="32"/>
  <c r="GU1" i="32"/>
  <c r="GV1" i="32"/>
  <c r="GW1" i="32"/>
  <c r="GX1" i="32"/>
  <c r="GY1" i="32"/>
  <c r="GZ1" i="32"/>
  <c r="HA1" i="32"/>
  <c r="HB1" i="32"/>
  <c r="HC1" i="32"/>
  <c r="HD1" i="32"/>
  <c r="HE1" i="32"/>
  <c r="HF1" i="32"/>
  <c r="HG1" i="32"/>
  <c r="HH1" i="32"/>
  <c r="HI1" i="32"/>
  <c r="HJ1" i="32"/>
  <c r="HK1" i="32"/>
  <c r="HL1" i="32"/>
  <c r="HM1" i="32"/>
  <c r="HN1" i="32"/>
  <c r="HO1" i="32"/>
  <c r="HP1" i="32"/>
  <c r="HQ1" i="32"/>
  <c r="HR1" i="32"/>
  <c r="HS1" i="32"/>
  <c r="HT1" i="32"/>
  <c r="HU1" i="32"/>
  <c r="HV1" i="32"/>
  <c r="HW1" i="32"/>
  <c r="HX1" i="32"/>
  <c r="HY1" i="32"/>
  <c r="HZ1" i="32"/>
  <c r="IA1" i="32"/>
  <c r="IB1" i="32"/>
  <c r="IC1" i="32"/>
  <c r="ID1" i="32"/>
  <c r="IE1" i="32"/>
  <c r="IF1" i="32"/>
  <c r="IG1" i="32"/>
  <c r="IH1" i="32"/>
  <c r="II1" i="32"/>
  <c r="IJ1" i="32"/>
  <c r="IK1" i="32"/>
  <c r="IL1" i="32"/>
  <c r="IM1" i="32"/>
  <c r="IN1" i="32"/>
  <c r="IO1" i="32"/>
  <c r="IP1" i="32"/>
  <c r="IQ1" i="32"/>
  <c r="IR1" i="32"/>
  <c r="IS1" i="32"/>
  <c r="IT1" i="32"/>
  <c r="IU1" i="32"/>
  <c r="IV1" i="32"/>
  <c r="T21" i="315"/>
  <c r="V21" i="315"/>
  <c r="T22" i="315"/>
  <c r="T26" i="315" s="1"/>
  <c r="V26" i="315" s="1"/>
  <c r="V22" i="315"/>
  <c r="C38" i="315" l="1"/>
  <c r="O22" i="315"/>
  <c r="T30" i="315"/>
  <c r="C22" i="315"/>
  <c r="I22" i="315"/>
  <c r="I30" i="315"/>
  <c r="E13" i="315"/>
  <c r="K13" i="315"/>
  <c r="Q13" i="315"/>
  <c r="I26" i="315" l="1"/>
  <c r="K26" i="315" s="1"/>
  <c r="K22" i="315"/>
  <c r="E22" i="315"/>
  <c r="C26" i="315"/>
  <c r="E26" i="315" s="1"/>
  <c r="O26" i="315"/>
  <c r="Q26" i="315" s="1"/>
  <c r="Q22" i="3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Criniti</author>
    <author>Gail Gudell</author>
    <author>user</author>
  </authors>
  <commentList>
    <comment ref="T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Jim Criniti:</t>
        </r>
        <r>
          <rPr>
            <sz val="9"/>
            <color indexed="81"/>
            <rFont val="Tahoma"/>
            <family val="2"/>
          </rPr>
          <t xml:space="preserve">
Enter the month number to update ytd budget column.</t>
        </r>
      </text>
    </comment>
    <comment ref="B1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Total should match the SALES total on Income Statement  </t>
        </r>
      </text>
    </comment>
    <comment ref="B2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Total should match the DIRECT COSTS (COGS) total on Income Statement
</t>
        </r>
      </text>
    </comment>
    <comment ref="B22" authorId="1" shapeId="0" xr:uid="{00000000-0006-0000-0000-000004000000}">
      <text>
        <r>
          <rPr>
            <b/>
            <sz val="8"/>
            <color rgb="FF000000"/>
            <rFont val="Tahoma"/>
            <family val="2"/>
          </rPr>
          <t>Total should match GROSS PROFIT on Income Statement - the total of all SALES less all DIRECT COSTS (COGS)</t>
        </r>
      </text>
    </comment>
    <comment ref="B29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5110,5130,5140,5141,6115.6117</t>
        </r>
      </text>
    </comment>
    <comment ref="C33" authorId="2" shapeId="0" xr:uid="{00000000-0006-0000-0000-000006000000}">
      <text>
        <r>
          <rPr>
            <b/>
            <sz val="8"/>
            <color rgb="FF000000"/>
            <rFont val="Tahoma"/>
            <family val="2"/>
          </rPr>
          <t>user: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Includes Undeposited Funds</t>
        </r>
      </text>
    </comment>
  </commentList>
</comments>
</file>

<file path=xl/sharedStrings.xml><?xml version="1.0" encoding="utf-8"?>
<sst xmlns="http://schemas.openxmlformats.org/spreadsheetml/2006/main" count="51" uniqueCount="45">
  <si>
    <t>Financial Quick Check</t>
  </si>
  <si>
    <t>Prepared by:</t>
  </si>
  <si>
    <t>Month #</t>
  </si>
  <si>
    <t>Month</t>
  </si>
  <si>
    <t>COMPARED TO</t>
  </si>
  <si>
    <t>To Date</t>
  </si>
  <si>
    <t>Month Budget/Goal</t>
  </si>
  <si>
    <t>Year to Date</t>
  </si>
  <si>
    <t>YTD Budget/Goal</t>
  </si>
  <si>
    <t>SALES</t>
  </si>
  <si>
    <t xml:space="preserve">     4110 Sales-Service</t>
  </si>
  <si>
    <t>SALES - Total</t>
  </si>
  <si>
    <t>DIRECT COSTS (COGS)</t>
  </si>
  <si>
    <t xml:space="preserve"> </t>
  </si>
  <si>
    <t>DIRECT COSTS (COGS) - Total</t>
  </si>
  <si>
    <t>GROSS PROFIT/GROSS MARGIN</t>
  </si>
  <si>
    <t>OPERATING EXPENSES (OVERHEAD)</t>
  </si>
  <si>
    <t>TOTAL PAYROLL</t>
  </si>
  <si>
    <t>TOTAL PAYROLL AS A % OF SALES</t>
  </si>
  <si>
    <t>CASH FLOW and QUICK RATIO</t>
  </si>
  <si>
    <t>Total Avaliable Cash from Checking &amp; Savings</t>
  </si>
  <si>
    <t>Accounts Receivable</t>
  </si>
  <si>
    <t>Total (A)</t>
  </si>
  <si>
    <t>Current Liabilities (B)</t>
  </si>
  <si>
    <t>Cash Flow (A) - (B)</t>
  </si>
  <si>
    <t>Ratio (A) / (B)</t>
  </si>
  <si>
    <t>to</t>
  </si>
  <si>
    <t>NET ORDINARY INCOME</t>
  </si>
  <si>
    <t>AAAAAF9/zq0=</t>
  </si>
  <si>
    <t>AAAAAF9/zq4=</t>
  </si>
  <si>
    <t>AAAAAF9/zq8=</t>
  </si>
  <si>
    <t>AAAAAF9/zrA=</t>
  </si>
  <si>
    <t>AAAAAF9/zrE=</t>
  </si>
  <si>
    <t>AAAAAF9/zrI=</t>
  </si>
  <si>
    <t>Ellen</t>
  </si>
  <si>
    <t>Date:</t>
  </si>
  <si>
    <t xml:space="preserve">   </t>
  </si>
  <si>
    <t xml:space="preserve">     4515 Discount/Coupons- Sales</t>
  </si>
  <si>
    <t xml:space="preserve">     5110 - Tech Payroll - Field Gross Wages</t>
  </si>
  <si>
    <t xml:space="preserve">     5015 - Chemicals</t>
  </si>
  <si>
    <t xml:space="preserve">     5020 - Subcontractors</t>
  </si>
  <si>
    <t xml:space="preserve">     5030 - Tools &amp; Small Equipment</t>
  </si>
  <si>
    <t xml:space="preserve">     5035 - Equipment Rentals</t>
  </si>
  <si>
    <t xml:space="preserve">     5040 - Sales Commissions</t>
  </si>
  <si>
    <t xml:space="preserve">     5050 - Permits &amp;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</si>
</sst>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sz val="13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double">
        <color indexed="8"/>
      </right>
      <top/>
      <bottom/>
      <diagonal/>
    </border>
    <border>
      <left style="medium">
        <color indexed="36"/>
      </left>
      <right/>
      <top style="medium">
        <color indexed="36"/>
      </top>
      <bottom style="medium">
        <color indexed="36"/>
      </bottom>
      <diagonal/>
    </border>
    <border>
      <left/>
      <right/>
      <top style="medium">
        <color indexed="36"/>
      </top>
      <bottom style="medium">
        <color indexed="36"/>
      </bottom>
      <diagonal/>
    </border>
    <border>
      <left/>
      <right style="medium">
        <color indexed="36"/>
      </right>
      <top style="medium">
        <color indexed="36"/>
      </top>
      <bottom style="medium">
        <color indexed="36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7030A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theme="1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8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44" fontId="0" fillId="0" borderId="0" xfId="2" applyFont="1"/>
    <xf numFmtId="44" fontId="0" fillId="0" borderId="0" xfId="4" applyFont="1"/>
    <xf numFmtId="0" fontId="1" fillId="0" borderId="0" xfId="1"/>
    <xf numFmtId="9" fontId="0" fillId="0" borderId="0" xfId="3" applyFont="1"/>
    <xf numFmtId="9" fontId="0" fillId="0" borderId="0" xfId="5" applyFont="1"/>
    <xf numFmtId="0" fontId="10" fillId="0" borderId="0" xfId="1" applyFont="1" applyFill="1" applyBorder="1"/>
    <xf numFmtId="3" fontId="10" fillId="0" borderId="0" xfId="1" applyNumberFormat="1" applyFont="1" applyFill="1" applyBorder="1"/>
    <xf numFmtId="0" fontId="10" fillId="0" borderId="1" xfId="1" applyFont="1" applyFill="1" applyBorder="1" applyProtection="1"/>
    <xf numFmtId="0" fontId="1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0" fillId="0" borderId="0" xfId="1" applyFont="1" applyFill="1" applyBorder="1" applyProtection="1"/>
    <xf numFmtId="3" fontId="10" fillId="0" borderId="0" xfId="1" applyNumberFormat="1" applyFont="1" applyFill="1" applyBorder="1" applyProtection="1"/>
    <xf numFmtId="0" fontId="10" fillId="0" borderId="3" xfId="1" applyFont="1" applyFill="1" applyBorder="1" applyProtection="1"/>
    <xf numFmtId="0" fontId="12" fillId="0" borderId="0" xfId="1" applyFont="1" applyFill="1" applyBorder="1" applyProtection="1"/>
    <xf numFmtId="0" fontId="10" fillId="0" borderId="7" xfId="1" applyFont="1" applyFill="1" applyBorder="1" applyProtection="1">
      <protection locked="0"/>
    </xf>
    <xf numFmtId="0" fontId="10" fillId="0" borderId="11" xfId="1" applyFont="1" applyFill="1" applyBorder="1" applyProtection="1"/>
    <xf numFmtId="0" fontId="11" fillId="0" borderId="9" xfId="1" applyFont="1" applyFill="1" applyBorder="1" applyAlignment="1" applyProtection="1">
      <alignment horizontal="center"/>
    </xf>
    <xf numFmtId="0" fontId="10" fillId="0" borderId="9" xfId="1" applyFont="1" applyFill="1" applyBorder="1" applyProtection="1"/>
    <xf numFmtId="0" fontId="10" fillId="0" borderId="10" xfId="1" applyFont="1" applyFill="1" applyBorder="1" applyProtection="1"/>
    <xf numFmtId="0" fontId="11" fillId="0" borderId="0" xfId="1" applyFont="1" applyFill="1" applyBorder="1" applyAlignment="1" applyProtection="1">
      <alignment horizontal="center"/>
    </xf>
    <xf numFmtId="0" fontId="10" fillId="0" borderId="14" xfId="1" applyFont="1" applyFill="1" applyBorder="1" applyProtection="1"/>
    <xf numFmtId="0" fontId="10" fillId="0" borderId="13" xfId="1" applyFont="1" applyFill="1" applyBorder="1" applyProtection="1"/>
    <xf numFmtId="0" fontId="11" fillId="0" borderId="12" xfId="1" applyFont="1" applyFill="1" applyBorder="1" applyProtection="1"/>
    <xf numFmtId="3" fontId="10" fillId="0" borderId="12" xfId="1" applyNumberFormat="1" applyFont="1" applyFill="1" applyBorder="1"/>
    <xf numFmtId="0" fontId="10" fillId="0" borderId="15" xfId="1" applyFont="1" applyFill="1" applyBorder="1"/>
    <xf numFmtId="164" fontId="13" fillId="0" borderId="2" xfId="2" applyNumberFormat="1" applyFont="1" applyFill="1" applyBorder="1" applyProtection="1">
      <protection locked="0"/>
    </xf>
    <xf numFmtId="165" fontId="12" fillId="2" borderId="16" xfId="3" applyNumberFormat="1" applyFont="1" applyFill="1" applyBorder="1" applyProtection="1"/>
    <xf numFmtId="0" fontId="10" fillId="0" borderId="13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0" borderId="14" xfId="1" applyFont="1" applyFill="1" applyBorder="1" applyAlignment="1" applyProtection="1">
      <alignment horizontal="center"/>
    </xf>
    <xf numFmtId="164" fontId="13" fillId="0" borderId="12" xfId="2" applyNumberFormat="1" applyFont="1" applyFill="1" applyBorder="1" applyProtection="1"/>
    <xf numFmtId="0" fontId="10" fillId="0" borderId="3" xfId="1" applyFont="1" applyFill="1" applyBorder="1" applyAlignment="1" applyProtection="1">
      <alignment horizontal="center"/>
    </xf>
    <xf numFmtId="0" fontId="14" fillId="0" borderId="12" xfId="1" applyFont="1" applyFill="1" applyBorder="1" applyProtection="1"/>
    <xf numFmtId="42" fontId="14" fillId="0" borderId="2" xfId="2" applyNumberFormat="1" applyFont="1" applyFill="1" applyBorder="1" applyProtection="1">
      <protection locked="0"/>
    </xf>
    <xf numFmtId="164" fontId="13" fillId="0" borderId="0" xfId="2" applyNumberFormat="1" applyFont="1" applyFill="1" applyBorder="1" applyProtection="1"/>
    <xf numFmtId="0" fontId="12" fillId="0" borderId="0" xfId="1" applyFont="1" applyFill="1" applyBorder="1" applyAlignment="1" applyProtection="1">
      <alignment horizontal="right"/>
    </xf>
    <xf numFmtId="0" fontId="10" fillId="0" borderId="13" xfId="1" applyFont="1" applyFill="1" applyBorder="1" applyAlignment="1" applyProtection="1">
      <alignment horizontal="right"/>
    </xf>
    <xf numFmtId="0" fontId="10" fillId="0" borderId="14" xfId="1" applyFont="1" applyFill="1" applyBorder="1" applyAlignment="1" applyProtection="1">
      <alignment horizontal="right"/>
    </xf>
    <xf numFmtId="164" fontId="15" fillId="2" borderId="17" xfId="2" applyNumberFormat="1" applyFont="1" applyFill="1" applyBorder="1" applyProtection="1"/>
    <xf numFmtId="0" fontId="11" fillId="2" borderId="0" xfId="1" applyFont="1" applyFill="1" applyBorder="1" applyProtection="1"/>
    <xf numFmtId="165" fontId="15" fillId="2" borderId="17" xfId="1" applyNumberFormat="1" applyFont="1" applyFill="1" applyBorder="1" applyProtection="1"/>
    <xf numFmtId="0" fontId="10" fillId="2" borderId="0" xfId="1" applyFont="1" applyFill="1" applyBorder="1" applyProtection="1"/>
    <xf numFmtId="164" fontId="15" fillId="2" borderId="18" xfId="2" applyNumberFormat="1" applyFont="1" applyFill="1" applyBorder="1" applyProtection="1"/>
    <xf numFmtId="0" fontId="12" fillId="2" borderId="0" xfId="1" applyFont="1" applyFill="1" applyBorder="1" applyProtection="1"/>
    <xf numFmtId="165" fontId="15" fillId="2" borderId="16" xfId="3" applyNumberFormat="1" applyFont="1" applyFill="1" applyBorder="1" applyProtection="1"/>
    <xf numFmtId="164" fontId="15" fillId="2" borderId="31" xfId="2" applyNumberFormat="1" applyFont="1" applyFill="1" applyBorder="1" applyProtection="1"/>
    <xf numFmtId="165" fontId="15" fillId="2" borderId="17" xfId="3" applyNumberFormat="1" applyFont="1" applyFill="1" applyBorder="1" applyProtection="1"/>
    <xf numFmtId="164" fontId="13" fillId="2" borderId="0" xfId="2" applyNumberFormat="1" applyFont="1" applyFill="1" applyBorder="1" applyProtection="1"/>
    <xf numFmtId="164" fontId="13" fillId="2" borderId="12" xfId="2" applyNumberFormat="1" applyFont="1" applyFill="1" applyBorder="1" applyProtection="1"/>
    <xf numFmtId="0" fontId="11" fillId="0" borderId="12" xfId="1" applyFont="1" applyFill="1" applyBorder="1" applyProtection="1">
      <protection locked="0"/>
    </xf>
    <xf numFmtId="164" fontId="16" fillId="2" borderId="2" xfId="2" applyNumberFormat="1" applyFont="1" applyFill="1" applyBorder="1" applyProtection="1">
      <protection locked="0"/>
    </xf>
    <xf numFmtId="164" fontId="17" fillId="0" borderId="32" xfId="0" applyNumberFormat="1" applyFont="1" applyBorder="1"/>
    <xf numFmtId="164" fontId="12" fillId="2" borderId="0" xfId="2" applyNumberFormat="1" applyFont="1" applyFill="1" applyBorder="1" applyProtection="1"/>
    <xf numFmtId="165" fontId="12" fillId="2" borderId="0" xfId="3" applyNumberFormat="1" applyFont="1" applyFill="1" applyBorder="1" applyProtection="1"/>
    <xf numFmtId="164" fontId="12" fillId="2" borderId="14" xfId="2" applyNumberFormat="1" applyFont="1" applyFill="1" applyBorder="1" applyProtection="1"/>
    <xf numFmtId="0" fontId="10" fillId="2" borderId="12" xfId="1" applyFont="1" applyFill="1" applyBorder="1" applyProtection="1"/>
    <xf numFmtId="0" fontId="11" fillId="0" borderId="12" xfId="1" applyFont="1" applyFill="1" applyBorder="1" applyAlignment="1" applyProtection="1">
      <alignment horizontal="right"/>
    </xf>
    <xf numFmtId="164" fontId="13" fillId="2" borderId="2" xfId="2" applyNumberFormat="1" applyFont="1" applyFill="1" applyBorder="1" applyProtection="1">
      <protection locked="0"/>
    </xf>
    <xf numFmtId="165" fontId="12" fillId="2" borderId="19" xfId="3" applyNumberFormat="1" applyFont="1" applyFill="1" applyBorder="1" applyProtection="1"/>
    <xf numFmtId="165" fontId="12" fillId="2" borderId="20" xfId="3" applyNumberFormat="1" applyFont="1" applyFill="1" applyBorder="1" applyProtection="1"/>
    <xf numFmtId="0" fontId="10" fillId="0" borderId="28" xfId="1" applyFont="1" applyFill="1" applyBorder="1" applyProtection="1"/>
    <xf numFmtId="3" fontId="10" fillId="0" borderId="21" xfId="1" applyNumberFormat="1" applyFont="1" applyFill="1" applyBorder="1" applyProtection="1"/>
    <xf numFmtId="0" fontId="10" fillId="0" borderId="24" xfId="1" applyFont="1" applyFill="1" applyBorder="1" applyProtection="1"/>
    <xf numFmtId="0" fontId="10" fillId="0" borderId="22" xfId="1" applyFont="1" applyFill="1" applyBorder="1" applyProtection="1"/>
    <xf numFmtId="3" fontId="10" fillId="0" borderId="23" xfId="1" applyNumberFormat="1" applyFont="1" applyFill="1" applyBorder="1" applyProtection="1"/>
    <xf numFmtId="0" fontId="11" fillId="0" borderId="12" xfId="1" applyFont="1" applyFill="1" applyBorder="1" applyAlignment="1" applyProtection="1">
      <alignment horizontal="left"/>
    </xf>
    <xf numFmtId="0" fontId="10" fillId="0" borderId="12" xfId="1" applyFont="1" applyFill="1" applyBorder="1" applyAlignment="1" applyProtection="1">
      <alignment horizontal="right"/>
      <protection locked="0"/>
    </xf>
    <xf numFmtId="0" fontId="11" fillId="0" borderId="12" xfId="1" applyFont="1" applyFill="1" applyBorder="1" applyAlignment="1" applyProtection="1">
      <alignment horizontal="right"/>
      <protection locked="0"/>
    </xf>
    <xf numFmtId="164" fontId="12" fillId="2" borderId="16" xfId="2" applyNumberFormat="1" applyFont="1" applyFill="1" applyBorder="1" applyProtection="1"/>
    <xf numFmtId="0" fontId="10" fillId="0" borderId="0" xfId="1" applyFont="1" applyFill="1" applyBorder="1" applyProtection="1">
      <protection locked="0"/>
    </xf>
    <xf numFmtId="166" fontId="12" fillId="2" borderId="16" xfId="1" applyNumberFormat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25" xfId="1" applyFont="1" applyFill="1" applyBorder="1" applyProtection="1">
      <protection locked="0"/>
    </xf>
    <xf numFmtId="0" fontId="10" fillId="0" borderId="26" xfId="1" applyFont="1" applyFill="1" applyBorder="1" applyAlignment="1" applyProtection="1">
      <alignment horizontal="center"/>
    </xf>
    <xf numFmtId="0" fontId="10" fillId="0" borderId="27" xfId="1" applyFont="1" applyFill="1" applyBorder="1" applyAlignment="1" applyProtection="1">
      <alignment horizontal="left"/>
    </xf>
    <xf numFmtId="0" fontId="10" fillId="2" borderId="16" xfId="1" applyFont="1" applyFill="1" applyBorder="1" applyProtection="1"/>
    <xf numFmtId="0" fontId="10" fillId="0" borderId="29" xfId="1" applyFont="1" applyFill="1" applyBorder="1" applyProtection="1"/>
    <xf numFmtId="0" fontId="10" fillId="0" borderId="17" xfId="1" applyFont="1" applyFill="1" applyBorder="1" applyProtection="1"/>
    <xf numFmtId="3" fontId="10" fillId="0" borderId="17" xfId="1" applyNumberFormat="1" applyFont="1" applyFill="1" applyBorder="1" applyProtection="1"/>
    <xf numFmtId="0" fontId="10" fillId="0" borderId="30" xfId="1" applyFont="1" applyFill="1" applyBorder="1" applyProtection="1"/>
    <xf numFmtId="164" fontId="13" fillId="0" borderId="33" xfId="2" applyNumberFormat="1" applyFont="1" applyFill="1" applyBorder="1" applyProtection="1">
      <protection locked="0"/>
    </xf>
    <xf numFmtId="0" fontId="11" fillId="0" borderId="0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11" fillId="0" borderId="12" xfId="1" applyFont="1" applyFill="1" applyBorder="1" applyAlignment="1" applyProtection="1">
      <alignment horizontal="center"/>
    </xf>
    <xf numFmtId="14" fontId="10" fillId="0" borderId="2" xfId="1" applyNumberFormat="1" applyFont="1" applyFill="1" applyBorder="1" applyAlignment="1" applyProtection="1">
      <alignment horizontal="center" wrapText="1"/>
      <protection locked="0"/>
    </xf>
    <xf numFmtId="0" fontId="10" fillId="0" borderId="4" xfId="1" applyFont="1" applyFill="1" applyBorder="1" applyAlignment="1" applyProtection="1">
      <alignment horizontal="center"/>
      <protection locked="0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1" fillId="0" borderId="9" xfId="1" applyFont="1" applyFill="1" applyBorder="1" applyAlignment="1" applyProtection="1">
      <alignment horizontal="center"/>
    </xf>
    <xf numFmtId="0" fontId="11" fillId="0" borderId="10" xfId="1" applyFont="1" applyFill="1" applyBorder="1" applyAlignment="1" applyProtection="1">
      <alignment horizontal="center"/>
    </xf>
    <xf numFmtId="0" fontId="11" fillId="0" borderId="8" xfId="1" applyFont="1" applyFill="1" applyBorder="1" applyAlignment="1" applyProtection="1">
      <alignment horizontal="center"/>
    </xf>
  </cellXfs>
  <cellStyles count="38">
    <cellStyle name="Currency 2" xfId="2" xr:uid="{00000000-0005-0000-0000-000000000000}"/>
    <cellStyle name="Currency 3" xfId="4" xr:uid="{00000000-0005-0000-0000-000001000000}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Normal 2" xfId="1" xr:uid="{00000000-0005-0000-0000-000023000000}"/>
    <cellStyle name="Percent 2" xfId="3" xr:uid="{00000000-0005-0000-0000-000024000000}"/>
    <cellStyle name="Percent 3" xfId="5" xr:uid="{00000000-0005-0000-0000-00002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423333</xdr:colOff>
      <xdr:row>7</xdr:row>
      <xdr:rowOff>102184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15683" y="1959559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Z41"/>
  <sheetViews>
    <sheetView tabSelected="1" defaultGridColor="0" topLeftCell="A22" colorId="22" zoomScale="160" zoomScaleNormal="160" zoomScalePageLayoutView="125" workbookViewId="0">
      <selection activeCell="B22" sqref="B22"/>
    </sheetView>
  </sheetViews>
  <sheetFormatPr baseColWidth="10" defaultColWidth="12.33203125" defaultRowHeight="23" customHeight="1" x14ac:dyDescent="0.2"/>
  <cols>
    <col min="1" max="1" width="8.1640625" style="6" customWidth="1"/>
    <col min="2" max="2" width="56.1640625" style="6" customWidth="1"/>
    <col min="3" max="3" width="13.6640625" style="6" customWidth="1"/>
    <col min="4" max="4" width="4.6640625" style="6" customWidth="1"/>
    <col min="5" max="5" width="9.83203125" style="6" customWidth="1"/>
    <col min="6" max="8" width="3.33203125" style="6" customWidth="1"/>
    <col min="9" max="9" width="14.83203125" style="6" customWidth="1"/>
    <col min="10" max="10" width="3.33203125" style="6" customWidth="1"/>
    <col min="11" max="11" width="9.83203125" style="6" customWidth="1"/>
    <col min="12" max="14" width="3.33203125" style="6" customWidth="1"/>
    <col min="15" max="15" width="17" style="7" customWidth="1"/>
    <col min="16" max="16" width="3.33203125" style="6" customWidth="1"/>
    <col min="17" max="17" width="9.83203125" style="6" customWidth="1"/>
    <col min="18" max="19" width="3.33203125" style="6" customWidth="1"/>
    <col min="20" max="20" width="16.33203125" style="7" customWidth="1"/>
    <col min="21" max="21" width="4.33203125" style="6" customWidth="1"/>
    <col min="22" max="22" width="9.83203125" style="6" customWidth="1"/>
    <col min="23" max="24" width="3.33203125" style="6" customWidth="1"/>
    <col min="25" max="16384" width="12.33203125" style="6"/>
  </cols>
  <sheetData>
    <row r="1" spans="1:26" ht="23" customHeight="1" thickBot="1" x14ac:dyDescent="0.25">
      <c r="A1" s="6" t="s">
        <v>36</v>
      </c>
    </row>
    <row r="2" spans="1:26" ht="23" customHeight="1" thickBot="1" x14ac:dyDescent="0.25">
      <c r="A2" s="8"/>
      <c r="B2" s="9" t="s">
        <v>0</v>
      </c>
      <c r="C2" s="10" t="s">
        <v>35</v>
      </c>
      <c r="D2" s="85">
        <v>43247</v>
      </c>
      <c r="E2" s="85"/>
      <c r="F2" s="85"/>
      <c r="G2" s="85"/>
      <c r="H2" s="85"/>
      <c r="I2" s="85"/>
      <c r="J2" s="11"/>
      <c r="K2" s="11"/>
      <c r="L2" s="11"/>
      <c r="M2" s="11"/>
      <c r="N2" s="11"/>
      <c r="O2" s="12"/>
      <c r="P2" s="11"/>
      <c r="Q2" s="11"/>
      <c r="R2" s="11"/>
      <c r="S2" s="11"/>
      <c r="T2" s="12"/>
      <c r="U2" s="11"/>
      <c r="V2" s="11"/>
      <c r="W2" s="11"/>
      <c r="X2" s="13"/>
    </row>
    <row r="3" spans="1:26" ht="23" customHeight="1" thickBot="1" x14ac:dyDescent="0.25">
      <c r="A3" s="8"/>
      <c r="B3" s="14"/>
      <c r="C3" s="10" t="s">
        <v>1</v>
      </c>
      <c r="D3" s="86" t="s">
        <v>34</v>
      </c>
      <c r="E3" s="87"/>
      <c r="F3" s="87"/>
      <c r="G3" s="87"/>
      <c r="H3" s="87"/>
      <c r="I3" s="88"/>
      <c r="J3" s="11"/>
      <c r="K3" s="11"/>
      <c r="L3" s="11"/>
      <c r="M3" s="11"/>
      <c r="N3" s="11"/>
      <c r="O3" s="12"/>
      <c r="P3" s="11"/>
      <c r="Q3" s="11"/>
      <c r="R3" s="11"/>
      <c r="S3" s="11"/>
      <c r="T3" s="12" t="s">
        <v>2</v>
      </c>
      <c r="U3" s="15">
        <v>5</v>
      </c>
      <c r="V3" s="11"/>
      <c r="W3" s="11"/>
      <c r="X3" s="13"/>
    </row>
    <row r="4" spans="1:26" ht="23" customHeight="1" x14ac:dyDescent="0.2">
      <c r="A4" s="8"/>
      <c r="B4" s="16"/>
      <c r="C4" s="17" t="s">
        <v>3</v>
      </c>
      <c r="D4" s="18"/>
      <c r="E4" s="18"/>
      <c r="F4" s="19"/>
      <c r="G4" s="11"/>
      <c r="H4" s="16"/>
      <c r="I4" s="89" t="s">
        <v>4</v>
      </c>
      <c r="J4" s="89"/>
      <c r="K4" s="89"/>
      <c r="L4" s="90"/>
      <c r="M4" s="20"/>
      <c r="N4" s="16"/>
      <c r="O4" s="89" t="s">
        <v>4</v>
      </c>
      <c r="P4" s="89"/>
      <c r="Q4" s="89"/>
      <c r="R4" s="90"/>
      <c r="S4" s="11"/>
      <c r="T4" s="91" t="s">
        <v>4</v>
      </c>
      <c r="U4" s="89"/>
      <c r="V4" s="89"/>
      <c r="W4" s="90"/>
      <c r="X4" s="13"/>
    </row>
    <row r="5" spans="1:26" ht="23" customHeight="1" x14ac:dyDescent="0.2">
      <c r="A5" s="8"/>
      <c r="B5" s="21"/>
      <c r="C5" s="20" t="s">
        <v>5</v>
      </c>
      <c r="D5" s="11"/>
      <c r="E5" s="11"/>
      <c r="F5" s="22"/>
      <c r="G5" s="11"/>
      <c r="H5" s="21"/>
      <c r="I5" s="82" t="s">
        <v>6</v>
      </c>
      <c r="J5" s="82"/>
      <c r="K5" s="82"/>
      <c r="L5" s="83"/>
      <c r="M5" s="20"/>
      <c r="N5" s="21"/>
      <c r="O5" s="82" t="s">
        <v>7</v>
      </c>
      <c r="P5" s="82"/>
      <c r="Q5" s="82"/>
      <c r="R5" s="83"/>
      <c r="S5" s="11"/>
      <c r="T5" s="84" t="s">
        <v>8</v>
      </c>
      <c r="U5" s="82"/>
      <c r="V5" s="82"/>
      <c r="W5" s="83"/>
      <c r="X5" s="13"/>
    </row>
    <row r="6" spans="1:26" ht="23" customHeight="1" thickBot="1" x14ac:dyDescent="0.25">
      <c r="A6" s="8"/>
      <c r="B6" s="23" t="s">
        <v>9</v>
      </c>
      <c r="C6" s="20"/>
      <c r="D6" s="11"/>
      <c r="E6" s="11"/>
      <c r="F6" s="22"/>
      <c r="G6" s="11"/>
      <c r="H6" s="21"/>
      <c r="J6" s="20"/>
      <c r="K6" s="11"/>
      <c r="L6" s="22"/>
      <c r="M6" s="11"/>
      <c r="N6" s="21"/>
      <c r="P6" s="20"/>
      <c r="Q6" s="11"/>
      <c r="R6" s="22"/>
      <c r="S6" s="11"/>
      <c r="T6" s="24"/>
      <c r="U6" s="20"/>
      <c r="V6" s="11"/>
      <c r="W6" s="22"/>
      <c r="X6" s="13"/>
      <c r="Z6" s="25"/>
    </row>
    <row r="7" spans="1:26" ht="23" customHeight="1" thickBot="1" x14ac:dyDescent="0.25">
      <c r="A7" s="8"/>
      <c r="B7" s="21" t="s">
        <v>10</v>
      </c>
      <c r="C7" s="26">
        <v>57890</v>
      </c>
      <c r="D7" s="11"/>
      <c r="E7" s="27">
        <f>SUM(C7/C10)</f>
        <v>1.0211677544540483</v>
      </c>
      <c r="F7" s="28"/>
      <c r="G7" s="29"/>
      <c r="H7" s="21"/>
      <c r="I7" s="26">
        <v>62000</v>
      </c>
      <c r="J7" s="11"/>
      <c r="K7" s="27">
        <f>SUM(I7/I10)</f>
        <v>1.0333333333333334</v>
      </c>
      <c r="L7" s="28"/>
      <c r="M7" s="29"/>
      <c r="N7" s="30"/>
      <c r="O7" s="26">
        <v>287479</v>
      </c>
      <c r="P7" s="11"/>
      <c r="Q7" s="27">
        <f>SUM(O7/O10)</f>
        <v>1.0314480076350667</v>
      </c>
      <c r="R7" s="28"/>
      <c r="S7" s="29"/>
      <c r="T7" s="31">
        <f>I7*U3</f>
        <v>310000</v>
      </c>
      <c r="U7" s="11"/>
      <c r="V7" s="27">
        <f>SUM(T7/T10)</f>
        <v>1.0333333333333334</v>
      </c>
      <c r="W7" s="28"/>
      <c r="X7" s="32"/>
    </row>
    <row r="8" spans="1:26" ht="23" customHeight="1" thickBot="1" x14ac:dyDescent="0.25">
      <c r="A8" s="8"/>
      <c r="B8" s="33" t="s">
        <v>37</v>
      </c>
      <c r="C8" s="34">
        <v>-1200</v>
      </c>
      <c r="D8" s="11"/>
      <c r="E8" s="27">
        <f>SUM(C8/C10)</f>
        <v>-2.1167754454048334E-2</v>
      </c>
      <c r="F8" s="28"/>
      <c r="G8" s="29"/>
      <c r="H8" s="21"/>
      <c r="I8" s="34">
        <v>-2000</v>
      </c>
      <c r="J8" s="11"/>
      <c r="K8" s="27">
        <f>SUM(I8/I10)</f>
        <v>-3.3333333333333333E-2</v>
      </c>
      <c r="L8" s="28"/>
      <c r="M8" s="29"/>
      <c r="N8" s="30"/>
      <c r="O8" s="34">
        <v>-8765</v>
      </c>
      <c r="P8" s="11"/>
      <c r="Q8" s="27">
        <f>SUM(O8/O10)</f>
        <v>-3.144800763506677E-2</v>
      </c>
      <c r="R8" s="28"/>
      <c r="S8" s="29"/>
      <c r="T8" s="31">
        <f>I8*U3</f>
        <v>-10000</v>
      </c>
      <c r="U8" s="11"/>
      <c r="V8" s="27">
        <f>SUM(T8/T10)</f>
        <v>-3.3333333333333333E-2</v>
      </c>
      <c r="W8" s="28"/>
      <c r="X8" s="32"/>
    </row>
    <row r="9" spans="1:26" ht="23" customHeight="1" x14ac:dyDescent="0.2">
      <c r="A9" s="8"/>
      <c r="B9" s="21"/>
      <c r="C9" s="35"/>
      <c r="D9" s="11"/>
      <c r="E9" s="36"/>
      <c r="F9" s="28"/>
      <c r="G9" s="29"/>
      <c r="H9" s="21"/>
      <c r="I9" s="35"/>
      <c r="J9" s="11"/>
      <c r="K9" s="36"/>
      <c r="L9" s="37"/>
      <c r="M9" s="10"/>
      <c r="N9" s="38"/>
      <c r="O9" s="35"/>
      <c r="P9" s="11"/>
      <c r="Q9" s="36"/>
      <c r="R9" s="37"/>
      <c r="S9" s="10"/>
      <c r="T9" s="31"/>
      <c r="U9" s="11"/>
      <c r="V9" s="36"/>
      <c r="W9" s="37"/>
      <c r="X9" s="13"/>
    </row>
    <row r="10" spans="1:26" ht="23" customHeight="1" thickBot="1" x14ac:dyDescent="0.25">
      <c r="A10" s="8"/>
      <c r="B10" s="23" t="s">
        <v>11</v>
      </c>
      <c r="C10" s="39">
        <f>SUM(C7:C8)</f>
        <v>56690</v>
      </c>
      <c r="D10" s="40"/>
      <c r="E10" s="41">
        <f>SUM(E7:E8)</f>
        <v>1</v>
      </c>
      <c r="F10" s="28"/>
      <c r="G10" s="29"/>
      <c r="H10" s="21"/>
      <c r="I10" s="39">
        <f>SUM(I7:I8)</f>
        <v>60000</v>
      </c>
      <c r="J10" s="40"/>
      <c r="K10" s="41">
        <f>SUM(K7:K8)</f>
        <v>1</v>
      </c>
      <c r="L10" s="28"/>
      <c r="M10" s="29"/>
      <c r="N10" s="30"/>
      <c r="O10" s="39">
        <f>SUM(O7:O8)</f>
        <v>278714</v>
      </c>
      <c r="P10" s="42"/>
      <c r="Q10" s="41">
        <f>SUM(Q7:Q8)</f>
        <v>1</v>
      </c>
      <c r="R10" s="28"/>
      <c r="S10" s="29"/>
      <c r="T10" s="43">
        <f>SUM(T7:T8)</f>
        <v>300000</v>
      </c>
      <c r="U10" s="42"/>
      <c r="V10" s="41">
        <f>SUM(V7:V8)</f>
        <v>1</v>
      </c>
      <c r="W10" s="28"/>
      <c r="X10" s="32"/>
    </row>
    <row r="11" spans="1:26" ht="23" customHeight="1" thickTop="1" x14ac:dyDescent="0.2">
      <c r="A11" s="8"/>
      <c r="B11" s="21"/>
      <c r="C11" s="35"/>
      <c r="D11" s="11"/>
      <c r="E11" s="14"/>
      <c r="F11" s="22"/>
      <c r="G11" s="11"/>
      <c r="H11" s="21"/>
      <c r="I11" s="35"/>
      <c r="J11" s="11"/>
      <c r="K11" s="14"/>
      <c r="L11" s="22"/>
      <c r="M11" s="11"/>
      <c r="N11" s="21"/>
      <c r="O11" s="35"/>
      <c r="P11" s="11"/>
      <c r="Q11" s="14"/>
      <c r="R11" s="22"/>
      <c r="S11" s="11"/>
      <c r="T11" s="31"/>
      <c r="U11" s="11"/>
      <c r="V11" s="14"/>
      <c r="W11" s="22"/>
      <c r="X11" s="13"/>
    </row>
    <row r="12" spans="1:26" ht="23" customHeight="1" thickBot="1" x14ac:dyDescent="0.25">
      <c r="A12" s="8"/>
      <c r="B12" s="23" t="s">
        <v>12</v>
      </c>
      <c r="C12" s="35"/>
      <c r="D12" s="11"/>
      <c r="E12" s="14" t="s">
        <v>13</v>
      </c>
      <c r="F12" s="22"/>
      <c r="G12" s="11"/>
      <c r="H12" s="21"/>
      <c r="I12" s="35"/>
      <c r="J12" s="11"/>
      <c r="K12" s="14" t="s">
        <v>13</v>
      </c>
      <c r="L12" s="22"/>
      <c r="M12" s="11"/>
      <c r="N12" s="21"/>
      <c r="O12" s="35"/>
      <c r="P12" s="11"/>
      <c r="Q12" s="14" t="s">
        <v>13</v>
      </c>
      <c r="R12" s="22"/>
      <c r="S12" s="11"/>
      <c r="T12" s="31"/>
      <c r="U12" s="11"/>
      <c r="V12" s="14" t="s">
        <v>13</v>
      </c>
      <c r="W12" s="22"/>
      <c r="X12" s="13"/>
    </row>
    <row r="13" spans="1:26" ht="23" customHeight="1" thickBot="1" x14ac:dyDescent="0.25">
      <c r="A13" s="8"/>
      <c r="B13" s="21" t="s">
        <v>38</v>
      </c>
      <c r="C13" s="26">
        <v>15342</v>
      </c>
      <c r="D13" s="11"/>
      <c r="E13" s="27">
        <f>SUM(C13/C10)</f>
        <v>0.27062974069500795</v>
      </c>
      <c r="F13" s="28"/>
      <c r="G13" s="29"/>
      <c r="H13" s="21"/>
      <c r="I13" s="26">
        <v>12000</v>
      </c>
      <c r="J13" s="11"/>
      <c r="K13" s="27">
        <f>SUM(I13/I10)</f>
        <v>0.2</v>
      </c>
      <c r="L13" s="28"/>
      <c r="M13" s="29"/>
      <c r="N13" s="21"/>
      <c r="O13" s="26">
        <v>73090</v>
      </c>
      <c r="P13" s="11"/>
      <c r="Q13" s="27">
        <f>SUM(O13/O10)</f>
        <v>0.26224014581255339</v>
      </c>
      <c r="R13" s="28"/>
      <c r="S13" s="11"/>
      <c r="T13" s="31">
        <f>I13*$U$3</f>
        <v>60000</v>
      </c>
      <c r="U13" s="11"/>
      <c r="V13" s="27">
        <f>SUM(T13/T10)</f>
        <v>0.2</v>
      </c>
      <c r="W13" s="28"/>
      <c r="X13" s="13"/>
    </row>
    <row r="14" spans="1:26" ht="23" customHeight="1" thickBot="1" x14ac:dyDescent="0.25">
      <c r="A14" s="8"/>
      <c r="B14" s="21" t="s">
        <v>39</v>
      </c>
      <c r="C14" s="26">
        <v>2365</v>
      </c>
      <c r="D14" s="11"/>
      <c r="E14" s="27">
        <f>SUM(C14/C10)</f>
        <v>4.1718116069853588E-2</v>
      </c>
      <c r="F14" s="28"/>
      <c r="G14" s="29"/>
      <c r="H14" s="21"/>
      <c r="I14" s="26">
        <v>3000</v>
      </c>
      <c r="J14" s="11"/>
      <c r="K14" s="27">
        <f>SUM(I14/I10)</f>
        <v>0.05</v>
      </c>
      <c r="L14" s="28"/>
      <c r="M14" s="29"/>
      <c r="N14" s="21"/>
      <c r="O14" s="26">
        <v>16789</v>
      </c>
      <c r="P14" s="11"/>
      <c r="Q14" s="27">
        <f>SUM(O14/O10)</f>
        <v>6.0237375948104507E-2</v>
      </c>
      <c r="R14" s="28"/>
      <c r="S14" s="11"/>
      <c r="T14" s="31">
        <f t="shared" ref="T14:T19" si="0">I14*$U$3</f>
        <v>15000</v>
      </c>
      <c r="U14" s="11"/>
      <c r="V14" s="27">
        <f>SUM(T14/T10)</f>
        <v>0.05</v>
      </c>
      <c r="W14" s="28"/>
      <c r="X14" s="13"/>
    </row>
    <row r="15" spans="1:26" ht="23" customHeight="1" thickBot="1" x14ac:dyDescent="0.25">
      <c r="A15" s="8"/>
      <c r="B15" s="21" t="s">
        <v>40</v>
      </c>
      <c r="C15" s="26">
        <v>0</v>
      </c>
      <c r="D15" s="11"/>
      <c r="E15" s="27">
        <f>SUM(C15/C10)</f>
        <v>0</v>
      </c>
      <c r="F15" s="28"/>
      <c r="G15" s="29"/>
      <c r="H15" s="21"/>
      <c r="I15" s="26">
        <v>1500</v>
      </c>
      <c r="J15" s="11"/>
      <c r="K15" s="27">
        <f>SUM(I15/I10)</f>
        <v>2.5000000000000001E-2</v>
      </c>
      <c r="L15" s="28"/>
      <c r="M15" s="29"/>
      <c r="N15" s="21"/>
      <c r="O15" s="26">
        <v>3329.93</v>
      </c>
      <c r="P15" s="11"/>
      <c r="Q15" s="27">
        <f>SUM(O15/O10)</f>
        <v>1.1947480212691146E-2</v>
      </c>
      <c r="R15" s="28"/>
      <c r="S15" s="11"/>
      <c r="T15" s="31">
        <f t="shared" si="0"/>
        <v>7500</v>
      </c>
      <c r="U15" s="11"/>
      <c r="V15" s="27">
        <f>SUM(T15/T10)</f>
        <v>2.5000000000000001E-2</v>
      </c>
      <c r="W15" s="28"/>
      <c r="X15" s="13"/>
    </row>
    <row r="16" spans="1:26" ht="23" customHeight="1" thickBot="1" x14ac:dyDescent="0.25">
      <c r="A16" s="8"/>
      <c r="B16" s="21" t="s">
        <v>41</v>
      </c>
      <c r="C16" s="26">
        <v>589</v>
      </c>
      <c r="D16" s="11"/>
      <c r="E16" s="27">
        <f>SUM(C16/C10)</f>
        <v>1.0389839477862057E-2</v>
      </c>
      <c r="F16" s="28"/>
      <c r="G16" s="29"/>
      <c r="H16" s="21"/>
      <c r="I16" s="26">
        <v>300</v>
      </c>
      <c r="J16" s="11"/>
      <c r="K16" s="27">
        <f>SUM(I16/I10)</f>
        <v>5.0000000000000001E-3</v>
      </c>
      <c r="L16" s="28"/>
      <c r="M16" s="29"/>
      <c r="N16" s="21"/>
      <c r="O16" s="26">
        <v>1342</v>
      </c>
      <c r="P16" s="11"/>
      <c r="Q16" s="27">
        <f>SUM(O16/O10)</f>
        <v>4.8149716196531208E-3</v>
      </c>
      <c r="R16" s="28"/>
      <c r="S16" s="11"/>
      <c r="T16" s="31">
        <f t="shared" si="0"/>
        <v>1500</v>
      </c>
      <c r="U16" s="11"/>
      <c r="V16" s="27">
        <f>SUM(T16/T10)</f>
        <v>5.0000000000000001E-3</v>
      </c>
      <c r="W16" s="28"/>
      <c r="X16" s="13"/>
    </row>
    <row r="17" spans="1:24" ht="23" customHeight="1" thickBot="1" x14ac:dyDescent="0.25">
      <c r="A17" s="8"/>
      <c r="B17" s="21" t="s">
        <v>42</v>
      </c>
      <c r="C17" s="26">
        <v>879</v>
      </c>
      <c r="D17" s="11"/>
      <c r="E17" s="27">
        <f>SUM(C17/C10)</f>
        <v>1.5505380137590404E-2</v>
      </c>
      <c r="F17" s="28"/>
      <c r="G17" s="29"/>
      <c r="H17" s="21"/>
      <c r="I17" s="26">
        <v>1000</v>
      </c>
      <c r="J17" s="11"/>
      <c r="K17" s="27">
        <f>SUM(I17/I10)</f>
        <v>1.6666666666666666E-2</v>
      </c>
      <c r="L17" s="28"/>
      <c r="M17" s="29"/>
      <c r="N17" s="21"/>
      <c r="O17" s="26">
        <v>4897</v>
      </c>
      <c r="P17" s="11"/>
      <c r="Q17" s="27">
        <f>SUM(O17/O10)</f>
        <v>1.7569982132221561E-2</v>
      </c>
      <c r="R17" s="28"/>
      <c r="S17" s="11"/>
      <c r="T17" s="31">
        <f t="shared" si="0"/>
        <v>5000</v>
      </c>
      <c r="U17" s="11"/>
      <c r="V17" s="27">
        <f>SUM(T17/T10)</f>
        <v>1.6666666666666666E-2</v>
      </c>
      <c r="W17" s="28"/>
      <c r="X17" s="13"/>
    </row>
    <row r="18" spans="1:24" ht="23" customHeight="1" thickBot="1" x14ac:dyDescent="0.25">
      <c r="A18" s="8"/>
      <c r="B18" s="21" t="s">
        <v>43</v>
      </c>
      <c r="C18" s="26">
        <v>8700</v>
      </c>
      <c r="D18" s="11"/>
      <c r="E18" s="27">
        <f>SUM(C18/C10)</f>
        <v>0.15346621979185041</v>
      </c>
      <c r="F18" s="28"/>
      <c r="G18" s="29"/>
      <c r="H18" s="21"/>
      <c r="I18" s="26">
        <v>9000</v>
      </c>
      <c r="J18" s="11"/>
      <c r="K18" s="27">
        <f>SUM(I18/I10)</f>
        <v>0.15</v>
      </c>
      <c r="L18" s="28"/>
      <c r="M18" s="29"/>
      <c r="N18" s="21"/>
      <c r="O18" s="26">
        <v>43900</v>
      </c>
      <c r="P18" s="11"/>
      <c r="Q18" s="27">
        <f>SUM(O18/O10)</f>
        <v>0.15750913122412222</v>
      </c>
      <c r="R18" s="28"/>
      <c r="S18" s="11"/>
      <c r="T18" s="31">
        <f t="shared" si="0"/>
        <v>45000</v>
      </c>
      <c r="U18" s="11"/>
      <c r="V18" s="27">
        <f>SUM(T18/T10)</f>
        <v>0.15</v>
      </c>
      <c r="W18" s="28"/>
      <c r="X18" s="13"/>
    </row>
    <row r="19" spans="1:24" ht="23" customHeight="1" thickBot="1" x14ac:dyDescent="0.25">
      <c r="A19" s="8"/>
      <c r="B19" s="21" t="s">
        <v>44</v>
      </c>
      <c r="C19" s="26">
        <v>175</v>
      </c>
      <c r="D19" s="11"/>
      <c r="E19" s="27">
        <f>SUM(C19/C10)</f>
        <v>3.0869641912153818E-3</v>
      </c>
      <c r="F19" s="28"/>
      <c r="G19" s="29"/>
      <c r="H19" s="21"/>
      <c r="I19" s="26">
        <v>150</v>
      </c>
      <c r="J19" s="11"/>
      <c r="K19" s="27">
        <f>SUM(I19/I10)</f>
        <v>2.5000000000000001E-3</v>
      </c>
      <c r="L19" s="28"/>
      <c r="M19" s="29"/>
      <c r="N19" s="21"/>
      <c r="O19" s="26">
        <v>540</v>
      </c>
      <c r="P19" s="11"/>
      <c r="Q19" s="27">
        <f>SUM(O19/O10)</f>
        <v>1.9374699512762186E-3</v>
      </c>
      <c r="R19" s="28"/>
      <c r="S19" s="11"/>
      <c r="T19" s="31">
        <f t="shared" si="0"/>
        <v>750</v>
      </c>
      <c r="U19" s="11"/>
      <c r="V19" s="27">
        <f>SUM(T19/T10)</f>
        <v>2.5000000000000001E-3</v>
      </c>
      <c r="W19" s="28"/>
      <c r="X19" s="13"/>
    </row>
    <row r="20" spans="1:24" ht="23" customHeight="1" x14ac:dyDescent="0.2">
      <c r="A20" s="8"/>
      <c r="B20" s="21"/>
      <c r="C20" s="35"/>
      <c r="D20" s="11"/>
      <c r="E20" s="44"/>
      <c r="F20" s="22"/>
      <c r="G20" s="11"/>
      <c r="H20" s="21"/>
      <c r="I20" s="35"/>
      <c r="J20" s="11"/>
      <c r="K20" s="44"/>
      <c r="L20" s="22"/>
      <c r="M20" s="11"/>
      <c r="N20" s="21"/>
      <c r="O20" s="35"/>
      <c r="P20" s="11"/>
      <c r="Q20" s="44"/>
      <c r="R20" s="22"/>
      <c r="S20" s="11"/>
      <c r="T20" s="31"/>
      <c r="U20" s="11"/>
      <c r="V20" s="44"/>
      <c r="W20" s="22"/>
      <c r="X20" s="13"/>
    </row>
    <row r="21" spans="1:24" ht="23" customHeight="1" thickBot="1" x14ac:dyDescent="0.25">
      <c r="A21" s="8"/>
      <c r="B21" s="23" t="s">
        <v>14</v>
      </c>
      <c r="C21" s="39">
        <f>SUM(C13:C19)</f>
        <v>28050</v>
      </c>
      <c r="D21" s="9"/>
      <c r="E21" s="45">
        <f>SUM(C21/C10)</f>
        <v>0.49479626036337976</v>
      </c>
      <c r="F21" s="28"/>
      <c r="G21" s="29"/>
      <c r="H21" s="21"/>
      <c r="I21" s="39">
        <f>SUM(I13:I19)</f>
        <v>26950</v>
      </c>
      <c r="J21" s="9"/>
      <c r="K21" s="45">
        <f>SUM(I21/I10)</f>
        <v>0.44916666666666666</v>
      </c>
      <c r="L21" s="28"/>
      <c r="M21" s="29"/>
      <c r="N21" s="30"/>
      <c r="O21" s="39">
        <f>SUM(O13:O19)</f>
        <v>143887.93</v>
      </c>
      <c r="P21" s="11"/>
      <c r="Q21" s="45">
        <f>SUM(O21/O10)</f>
        <v>0.51625655690062211</v>
      </c>
      <c r="R21" s="28"/>
      <c r="S21" s="29"/>
      <c r="T21" s="46">
        <f>SUM(T13:T19)</f>
        <v>134750</v>
      </c>
      <c r="U21" s="11"/>
      <c r="V21" s="45">
        <f>SUM(T21/T10)</f>
        <v>0.44916666666666666</v>
      </c>
      <c r="W21" s="28"/>
      <c r="X21" s="32"/>
    </row>
    <row r="22" spans="1:24" ht="23" customHeight="1" thickTop="1" thickBot="1" x14ac:dyDescent="0.25">
      <c r="A22" s="8"/>
      <c r="B22" s="23" t="s">
        <v>15</v>
      </c>
      <c r="C22" s="39">
        <f>SUM(C10-C21)</f>
        <v>28640</v>
      </c>
      <c r="D22" s="9"/>
      <c r="E22" s="47">
        <f>SUM(C22/C10)</f>
        <v>0.50520373963662024</v>
      </c>
      <c r="F22" s="28"/>
      <c r="G22" s="29"/>
      <c r="H22" s="21"/>
      <c r="I22" s="39">
        <f>SUM(I10-I21)</f>
        <v>33050</v>
      </c>
      <c r="J22" s="9"/>
      <c r="K22" s="47">
        <f>SUM(I22/I10)</f>
        <v>0.55083333333333329</v>
      </c>
      <c r="L22" s="28"/>
      <c r="M22" s="29"/>
      <c r="N22" s="30"/>
      <c r="O22" s="39">
        <f>SUM(O10-O21)</f>
        <v>134826.07</v>
      </c>
      <c r="P22" s="11"/>
      <c r="Q22" s="47">
        <f>SUM(O22/O10)</f>
        <v>0.48374344309937789</v>
      </c>
      <c r="R22" s="28"/>
      <c r="S22" s="29"/>
      <c r="T22" s="46">
        <f>SUM(T10-T21)</f>
        <v>165250</v>
      </c>
      <c r="U22" s="11"/>
      <c r="V22" s="47">
        <f>SUM(T22/T10)</f>
        <v>0.55083333333333329</v>
      </c>
      <c r="W22" s="28"/>
      <c r="X22" s="32"/>
    </row>
    <row r="23" spans="1:24" ht="23" customHeight="1" thickTop="1" thickBot="1" x14ac:dyDescent="0.25">
      <c r="A23" s="8"/>
      <c r="B23" s="21"/>
      <c r="C23" s="48"/>
      <c r="D23" s="11"/>
      <c r="E23" s="44"/>
      <c r="F23" s="22"/>
      <c r="G23" s="11"/>
      <c r="H23" s="21"/>
      <c r="I23" s="48"/>
      <c r="J23" s="11"/>
      <c r="K23" s="44"/>
      <c r="L23" s="22"/>
      <c r="M23" s="11"/>
      <c r="N23" s="21"/>
      <c r="O23" s="48"/>
      <c r="P23" s="11"/>
      <c r="Q23" s="44"/>
      <c r="R23" s="22"/>
      <c r="S23" s="11"/>
      <c r="T23" s="49"/>
      <c r="U23" s="11"/>
      <c r="V23" s="44"/>
      <c r="W23" s="22"/>
      <c r="X23" s="13"/>
    </row>
    <row r="24" spans="1:24" ht="23" customHeight="1" thickBot="1" x14ac:dyDescent="0.25">
      <c r="A24" s="8"/>
      <c r="B24" s="50" t="s">
        <v>16</v>
      </c>
      <c r="C24" s="51">
        <v>23564</v>
      </c>
      <c r="D24" s="9"/>
      <c r="E24" s="45">
        <f>SUM(C24/C10)</f>
        <v>0.41566413829599574</v>
      </c>
      <c r="F24" s="28"/>
      <c r="G24" s="29"/>
      <c r="H24" s="21"/>
      <c r="I24" s="51">
        <v>18000</v>
      </c>
      <c r="J24" s="9"/>
      <c r="K24" s="45">
        <f>SUM(I24/I10)</f>
        <v>0.3</v>
      </c>
      <c r="L24" s="28"/>
      <c r="M24" s="29"/>
      <c r="N24" s="30"/>
      <c r="O24" s="51">
        <v>129066</v>
      </c>
      <c r="P24" s="11"/>
      <c r="Q24" s="45">
        <f>SUM(O24/O10)</f>
        <v>0.46307684579891933</v>
      </c>
      <c r="R24" s="28"/>
      <c r="S24" s="29"/>
      <c r="T24" s="52">
        <f>I24*$U$3</f>
        <v>90000</v>
      </c>
      <c r="U24" s="11"/>
      <c r="V24" s="45">
        <f>SUM(T24/T10)</f>
        <v>0.3</v>
      </c>
      <c r="W24" s="28"/>
      <c r="X24" s="32"/>
    </row>
    <row r="25" spans="1:24" ht="23" customHeight="1" x14ac:dyDescent="0.2">
      <c r="A25" s="8"/>
      <c r="B25" s="21"/>
      <c r="C25" s="48"/>
      <c r="D25" s="11"/>
      <c r="E25" s="44"/>
      <c r="F25" s="22"/>
      <c r="G25" s="11"/>
      <c r="H25" s="21"/>
      <c r="I25" s="48"/>
      <c r="J25" s="11"/>
      <c r="K25" s="44"/>
      <c r="L25" s="22"/>
      <c r="M25" s="11"/>
      <c r="N25" s="21"/>
      <c r="O25" s="48"/>
      <c r="P25" s="11"/>
      <c r="Q25" s="44"/>
      <c r="R25" s="22"/>
      <c r="S25" s="11"/>
      <c r="T25" s="49"/>
      <c r="U25" s="11"/>
      <c r="V25" s="44"/>
      <c r="W25" s="22"/>
      <c r="X25" s="13"/>
    </row>
    <row r="26" spans="1:24" ht="23" customHeight="1" thickBot="1" x14ac:dyDescent="0.25">
      <c r="A26" s="8"/>
      <c r="B26" s="23" t="s">
        <v>27</v>
      </c>
      <c r="C26" s="39">
        <f>SUM(C22-C24)</f>
        <v>5076</v>
      </c>
      <c r="D26" s="9"/>
      <c r="E26" s="45">
        <f>SUM(C26/C10)</f>
        <v>8.9539601340624456E-2</v>
      </c>
      <c r="F26" s="28"/>
      <c r="G26" s="29"/>
      <c r="H26" s="21"/>
      <c r="I26" s="39">
        <f>SUM(I22-I24)</f>
        <v>15050</v>
      </c>
      <c r="J26" s="9"/>
      <c r="K26" s="45">
        <f>SUM(I26/I10)</f>
        <v>0.25083333333333335</v>
      </c>
      <c r="L26" s="28"/>
      <c r="M26" s="29"/>
      <c r="N26" s="30"/>
      <c r="O26" s="39">
        <f>SUM(O22-O24)</f>
        <v>5760.070000000007</v>
      </c>
      <c r="P26" s="9"/>
      <c r="Q26" s="45">
        <f>SUM(O26/O10)</f>
        <v>2.0666597300458559E-2</v>
      </c>
      <c r="R26" s="28"/>
      <c r="S26" s="29"/>
      <c r="T26" s="39">
        <f>SUM(T22-T24)</f>
        <v>75250</v>
      </c>
      <c r="U26" s="9"/>
      <c r="V26" s="45">
        <f>SUM(T26/T10)</f>
        <v>0.25083333333333335</v>
      </c>
      <c r="W26" s="28"/>
      <c r="X26" s="32"/>
    </row>
    <row r="27" spans="1:24" ht="23" customHeight="1" thickTop="1" x14ac:dyDescent="0.2">
      <c r="A27" s="8"/>
      <c r="B27" s="23"/>
      <c r="C27" s="53"/>
      <c r="D27" s="11"/>
      <c r="E27" s="54"/>
      <c r="F27" s="28"/>
      <c r="G27" s="29"/>
      <c r="H27" s="21"/>
      <c r="I27" s="53"/>
      <c r="J27" s="11"/>
      <c r="K27" s="54"/>
      <c r="L27" s="28"/>
      <c r="M27" s="29"/>
      <c r="N27" s="30"/>
      <c r="O27" s="53"/>
      <c r="P27" s="11"/>
      <c r="Q27" s="54"/>
      <c r="R27" s="28"/>
      <c r="S27" s="29"/>
      <c r="T27" s="55"/>
      <c r="U27" s="11"/>
      <c r="V27" s="54"/>
      <c r="W27" s="28"/>
      <c r="X27" s="32"/>
    </row>
    <row r="28" spans="1:24" ht="23" customHeight="1" thickBot="1" x14ac:dyDescent="0.25">
      <c r="A28" s="8"/>
      <c r="B28" s="21"/>
      <c r="C28" s="42"/>
      <c r="D28" s="11"/>
      <c r="E28" s="11"/>
      <c r="F28" s="22"/>
      <c r="G28" s="11"/>
      <c r="H28" s="21"/>
      <c r="I28" s="42"/>
      <c r="J28" s="11"/>
      <c r="K28" s="11"/>
      <c r="L28" s="22"/>
      <c r="M28" s="11"/>
      <c r="N28" s="21"/>
      <c r="O28" s="42"/>
      <c r="P28" s="11"/>
      <c r="Q28" s="11"/>
      <c r="R28" s="22"/>
      <c r="S28" s="11"/>
      <c r="T28" s="56"/>
      <c r="U28" s="11"/>
      <c r="V28" s="11"/>
      <c r="W28" s="22"/>
      <c r="X28" s="13"/>
    </row>
    <row r="29" spans="1:24" ht="23" customHeight="1" thickBot="1" x14ac:dyDescent="0.25">
      <c r="A29" s="8"/>
      <c r="B29" s="57" t="s">
        <v>17</v>
      </c>
      <c r="C29" s="58">
        <v>25467</v>
      </c>
      <c r="D29" s="11"/>
      <c r="E29" s="11"/>
      <c r="F29" s="22"/>
      <c r="G29" s="11"/>
      <c r="H29" s="21"/>
      <c r="I29" s="58">
        <v>27000</v>
      </c>
      <c r="J29" s="11"/>
      <c r="K29" s="11"/>
      <c r="L29" s="22"/>
      <c r="M29" s="11"/>
      <c r="N29" s="21"/>
      <c r="O29" s="58">
        <v>137567</v>
      </c>
      <c r="P29" s="11"/>
      <c r="Q29" s="11"/>
      <c r="R29" s="22"/>
      <c r="S29" s="11"/>
      <c r="T29" s="81">
        <v>135000</v>
      </c>
      <c r="U29" s="11"/>
      <c r="V29" s="11"/>
      <c r="W29" s="22"/>
      <c r="X29" s="13"/>
    </row>
    <row r="30" spans="1:24" ht="23" customHeight="1" x14ac:dyDescent="0.2">
      <c r="A30" s="8"/>
      <c r="B30" s="57" t="s">
        <v>18</v>
      </c>
      <c r="C30" s="59">
        <f>SUM(C29/C10)</f>
        <v>0.44923266890104074</v>
      </c>
      <c r="D30" s="29"/>
      <c r="E30" s="11"/>
      <c r="F30" s="22"/>
      <c r="G30" s="11"/>
      <c r="H30" s="21"/>
      <c r="I30" s="60">
        <f>SUM(I29/I10)</f>
        <v>0.45</v>
      </c>
      <c r="J30" s="29"/>
      <c r="K30" s="11"/>
      <c r="L30" s="22"/>
      <c r="M30" s="11"/>
      <c r="N30" s="21"/>
      <c r="O30" s="59">
        <f>SUM(O29/O10)</f>
        <v>0.49357764590225106</v>
      </c>
      <c r="P30" s="29"/>
      <c r="Q30" s="11"/>
      <c r="R30" s="22"/>
      <c r="S30" s="11"/>
      <c r="T30" s="59">
        <f>SUM(T29/T10)</f>
        <v>0.45</v>
      </c>
      <c r="U30" s="29"/>
      <c r="V30" s="11"/>
      <c r="W30" s="22"/>
      <c r="X30" s="13"/>
    </row>
    <row r="31" spans="1:24" ht="23" customHeight="1" x14ac:dyDescent="0.2">
      <c r="A31" s="8"/>
      <c r="B31" s="21"/>
      <c r="C31" s="42"/>
      <c r="D31" s="11"/>
      <c r="E31" s="11"/>
      <c r="F31" s="22"/>
      <c r="G31" s="11"/>
      <c r="H31" s="21"/>
      <c r="I31" s="11"/>
      <c r="J31" s="11"/>
      <c r="K31" s="11"/>
      <c r="L31" s="22"/>
      <c r="M31" s="11"/>
      <c r="N31" s="61"/>
      <c r="O31" s="62"/>
      <c r="P31" s="63"/>
      <c r="Q31" s="63"/>
      <c r="R31" s="64"/>
      <c r="S31" s="11"/>
      <c r="T31" s="65"/>
      <c r="U31" s="63"/>
      <c r="V31" s="63"/>
      <c r="W31" s="64"/>
      <c r="X31" s="13"/>
    </row>
    <row r="32" spans="1:24" ht="23" customHeight="1" thickBot="1" x14ac:dyDescent="0.25">
      <c r="A32" s="8"/>
      <c r="B32" s="66" t="s">
        <v>19</v>
      </c>
      <c r="C32" s="42"/>
      <c r="D32" s="11"/>
      <c r="E32" s="11"/>
      <c r="F32" s="22"/>
      <c r="G32" s="11"/>
      <c r="H32" s="21"/>
      <c r="I32" s="11"/>
      <c r="J32" s="11"/>
      <c r="K32" s="11"/>
      <c r="L32" s="22"/>
      <c r="M32" s="11"/>
      <c r="N32" s="11"/>
      <c r="O32" s="12"/>
      <c r="P32" s="11"/>
      <c r="Q32" s="11"/>
      <c r="R32" s="11"/>
      <c r="S32" s="11"/>
      <c r="T32" s="12"/>
      <c r="U32" s="11"/>
      <c r="V32" s="11"/>
      <c r="W32" s="11"/>
      <c r="X32" s="13"/>
    </row>
    <row r="33" spans="1:24" ht="23" customHeight="1" thickBot="1" x14ac:dyDescent="0.25">
      <c r="A33" s="8"/>
      <c r="B33" s="67" t="s">
        <v>20</v>
      </c>
      <c r="C33" s="58">
        <v>45908</v>
      </c>
      <c r="D33" s="11"/>
      <c r="E33" s="11"/>
      <c r="F33" s="22"/>
      <c r="G33" s="11"/>
      <c r="H33" s="21"/>
      <c r="I33" s="11"/>
      <c r="J33" s="11"/>
      <c r="K33" s="11"/>
      <c r="L33" s="22"/>
      <c r="M33" s="11"/>
      <c r="N33" s="11"/>
      <c r="O33" s="12"/>
      <c r="P33" s="11"/>
      <c r="Q33" s="11"/>
      <c r="R33" s="11"/>
      <c r="S33" s="11"/>
      <c r="T33" s="12"/>
      <c r="U33" s="11"/>
      <c r="V33" s="11"/>
      <c r="W33" s="11"/>
      <c r="X33" s="13"/>
    </row>
    <row r="34" spans="1:24" ht="23" customHeight="1" thickBot="1" x14ac:dyDescent="0.25">
      <c r="A34" s="8"/>
      <c r="B34" s="67" t="s">
        <v>21</v>
      </c>
      <c r="C34" s="58">
        <v>13452</v>
      </c>
      <c r="D34" s="11"/>
      <c r="E34" s="11"/>
      <c r="F34" s="22"/>
      <c r="G34" s="11"/>
      <c r="H34" s="21"/>
      <c r="I34" s="11"/>
      <c r="J34" s="11"/>
      <c r="K34" s="11"/>
      <c r="L34" s="22"/>
      <c r="M34" s="11"/>
      <c r="N34" s="11"/>
      <c r="O34" s="12"/>
      <c r="P34" s="11"/>
      <c r="Q34" s="11"/>
      <c r="R34" s="11"/>
      <c r="S34" s="11"/>
      <c r="T34" s="12"/>
      <c r="U34" s="11"/>
      <c r="V34" s="11"/>
      <c r="W34" s="11"/>
      <c r="X34" s="13"/>
    </row>
    <row r="35" spans="1:24" ht="23" customHeight="1" thickBot="1" x14ac:dyDescent="0.25">
      <c r="A35" s="8"/>
      <c r="B35" s="57" t="s">
        <v>22</v>
      </c>
      <c r="C35" s="53">
        <f>SUM(C33:C34)</f>
        <v>59360</v>
      </c>
      <c r="D35" s="11"/>
      <c r="E35" s="11"/>
      <c r="F35" s="22"/>
      <c r="G35" s="11"/>
      <c r="H35" s="21"/>
      <c r="I35" s="11"/>
      <c r="J35" s="11"/>
      <c r="K35" s="11"/>
      <c r="L35" s="22"/>
      <c r="M35" s="11"/>
      <c r="N35" s="11"/>
      <c r="O35" s="12"/>
      <c r="P35" s="11"/>
      <c r="Q35" s="11"/>
      <c r="R35" s="11"/>
      <c r="S35" s="11"/>
      <c r="T35" s="12"/>
      <c r="U35" s="11"/>
      <c r="V35" s="11"/>
      <c r="W35" s="11"/>
      <c r="X35" s="13"/>
    </row>
    <row r="36" spans="1:24" ht="23" customHeight="1" thickBot="1" x14ac:dyDescent="0.25">
      <c r="A36" s="8"/>
      <c r="B36" s="68" t="s">
        <v>23</v>
      </c>
      <c r="C36" s="58">
        <v>36923</v>
      </c>
      <c r="D36" s="11"/>
      <c r="E36" s="11"/>
      <c r="F36" s="22"/>
      <c r="G36" s="11"/>
      <c r="H36" s="21"/>
      <c r="I36" s="11"/>
      <c r="J36" s="11"/>
      <c r="K36" s="11"/>
      <c r="L36" s="22"/>
      <c r="M36" s="11"/>
      <c r="N36" s="11"/>
      <c r="O36" s="12"/>
      <c r="P36" s="11"/>
      <c r="Q36" s="11"/>
      <c r="R36" s="11"/>
      <c r="S36" s="11"/>
      <c r="T36" s="12"/>
      <c r="U36" s="11"/>
      <c r="V36" s="11"/>
      <c r="W36" s="11"/>
      <c r="X36" s="13"/>
    </row>
    <row r="37" spans="1:24" ht="23" customHeight="1" x14ac:dyDescent="0.2">
      <c r="A37" s="8"/>
      <c r="B37" s="57" t="s">
        <v>24</v>
      </c>
      <c r="C37" s="69">
        <f>SUM(C35-C36)</f>
        <v>22437</v>
      </c>
      <c r="D37" s="11"/>
      <c r="E37" s="11"/>
      <c r="F37" s="22"/>
      <c r="G37" s="11"/>
      <c r="H37" s="21"/>
      <c r="I37" s="70"/>
      <c r="J37" s="11"/>
      <c r="K37" s="11"/>
      <c r="L37" s="22"/>
      <c r="M37" s="11"/>
      <c r="N37" s="11"/>
      <c r="O37" s="12"/>
      <c r="P37" s="11"/>
      <c r="Q37" s="11"/>
      <c r="R37" s="11"/>
      <c r="S37" s="11"/>
      <c r="T37" s="12"/>
      <c r="U37" s="11"/>
      <c r="V37" s="11"/>
      <c r="W37" s="11"/>
      <c r="X37" s="13"/>
    </row>
    <row r="38" spans="1:24" ht="23" customHeight="1" x14ac:dyDescent="0.2">
      <c r="A38" s="8"/>
      <c r="B38" s="57" t="s">
        <v>25</v>
      </c>
      <c r="C38" s="71">
        <f>SUM(C35/C36)</f>
        <v>1.6076700159791999</v>
      </c>
      <c r="D38" s="29" t="s">
        <v>26</v>
      </c>
      <c r="E38" s="72">
        <v>1</v>
      </c>
      <c r="F38" s="22"/>
      <c r="G38" s="11"/>
      <c r="H38" s="21"/>
      <c r="I38" s="73">
        <v>2</v>
      </c>
      <c r="J38" s="74" t="s">
        <v>26</v>
      </c>
      <c r="K38" s="75">
        <v>1</v>
      </c>
      <c r="L38" s="22"/>
      <c r="M38" s="11"/>
      <c r="N38" s="11"/>
      <c r="O38" s="12"/>
      <c r="P38" s="11"/>
      <c r="Q38" s="11"/>
      <c r="R38" s="11"/>
      <c r="S38" s="11"/>
      <c r="T38" s="12"/>
      <c r="U38" s="11"/>
      <c r="V38" s="11"/>
      <c r="W38" s="11"/>
      <c r="X38" s="13"/>
    </row>
    <row r="39" spans="1:24" ht="23" customHeight="1" x14ac:dyDescent="0.2">
      <c r="A39" s="8"/>
      <c r="B39" s="61"/>
      <c r="C39" s="76"/>
      <c r="D39" s="63"/>
      <c r="E39" s="63"/>
      <c r="F39" s="64"/>
      <c r="G39" s="11"/>
      <c r="H39" s="61"/>
      <c r="I39" s="63"/>
      <c r="J39" s="63"/>
      <c r="K39" s="63"/>
      <c r="L39" s="64"/>
      <c r="M39" s="11"/>
      <c r="N39" s="11"/>
      <c r="O39" s="12"/>
      <c r="P39" s="11"/>
      <c r="Q39" s="11"/>
      <c r="R39" s="11"/>
      <c r="S39" s="11"/>
      <c r="T39" s="12"/>
      <c r="U39" s="11"/>
      <c r="V39" s="11"/>
      <c r="W39" s="11"/>
      <c r="X39" s="13"/>
    </row>
    <row r="40" spans="1:24" ht="23" customHeight="1" thickBot="1" x14ac:dyDescent="0.2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78"/>
      <c r="Q40" s="78"/>
      <c r="R40" s="78"/>
      <c r="S40" s="78"/>
      <c r="T40" s="79"/>
      <c r="U40" s="78"/>
      <c r="V40" s="78"/>
      <c r="W40" s="78"/>
      <c r="X40" s="80"/>
    </row>
    <row r="41" spans="1:24" ht="23" customHeight="1" thickTop="1" x14ac:dyDescent="0.2"/>
  </sheetData>
  <sheetProtection sheet="1" objects="1" scenarios="1"/>
  <mergeCells count="8">
    <mergeCell ref="I5:L5"/>
    <mergeCell ref="O5:R5"/>
    <mergeCell ref="T5:W5"/>
    <mergeCell ref="D2:I2"/>
    <mergeCell ref="D3:I3"/>
    <mergeCell ref="I4:L4"/>
    <mergeCell ref="O4:R4"/>
    <mergeCell ref="T4:W4"/>
  </mergeCells>
  <phoneticPr fontId="9" type="noConversion"/>
  <pageMargins left="0.2" right="0.21" top="0.39" bottom="0.5" header="0.17" footer="0.5"/>
  <pageSetup scale="51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IV115"/>
  <sheetViews>
    <sheetView workbookViewId="0">
      <selection activeCell="FW115" sqref="FW115"/>
    </sheetView>
  </sheetViews>
  <sheetFormatPr baseColWidth="10" defaultColWidth="8.83203125" defaultRowHeight="15" x14ac:dyDescent="0.2"/>
  <sheetData>
    <row r="1" spans="1:256" x14ac:dyDescent="0.2">
      <c r="A1" t="e">
        <f>IF(#REF!,"AAAAAHfz3wA=",0)</f>
        <v>#REF!</v>
      </c>
      <c r="B1" t="e">
        <f>AND(#REF!,"AAAAAHfz3wE=")</f>
        <v>#REF!</v>
      </c>
      <c r="C1" t="e">
        <f>AND(#REF!,"AAAAAHfz3wI=")</f>
        <v>#REF!</v>
      </c>
      <c r="D1" t="e">
        <f>AND(#REF!,"AAAAAHfz3wM=")</f>
        <v>#REF!</v>
      </c>
      <c r="E1" t="e">
        <f>AND(#REF!,"AAAAAHfz3wQ=")</f>
        <v>#REF!</v>
      </c>
      <c r="F1" t="e">
        <f>AND(#REF!,"AAAAAHfz3wU=")</f>
        <v>#REF!</v>
      </c>
      <c r="G1" t="e">
        <f>AND(#REF!,"AAAAAHfz3wY=")</f>
        <v>#REF!</v>
      </c>
      <c r="H1" t="e">
        <f>AND(#REF!,"AAAAAHfz3wc=")</f>
        <v>#REF!</v>
      </c>
      <c r="I1" t="e">
        <f>AND(#REF!,"AAAAAHfz3wg=")</f>
        <v>#REF!</v>
      </c>
      <c r="J1" t="e">
        <f>AND(#REF!,"AAAAAHfz3wk=")</f>
        <v>#REF!</v>
      </c>
      <c r="K1" t="e">
        <f>AND(#REF!,"AAAAAHfz3wo=")</f>
        <v>#REF!</v>
      </c>
      <c r="L1" t="e">
        <f>AND(#REF!,"AAAAAHfz3ws=")</f>
        <v>#REF!</v>
      </c>
      <c r="M1" t="e">
        <f>AND(#REF!,"AAAAAHfz3ww=")</f>
        <v>#REF!</v>
      </c>
      <c r="N1" t="e">
        <f>AND(#REF!,"AAAAAHfz3w0=")</f>
        <v>#REF!</v>
      </c>
      <c r="O1" t="e">
        <f>AND(#REF!,"AAAAAHfz3w4=")</f>
        <v>#REF!</v>
      </c>
      <c r="P1" t="e">
        <f>AND(#REF!,"AAAAAHfz3w8=")</f>
        <v>#REF!</v>
      </c>
      <c r="Q1" t="e">
        <f>AND(#REF!,"AAAAAHfz3xA=")</f>
        <v>#REF!</v>
      </c>
      <c r="R1" t="e">
        <f>AND(#REF!,"AAAAAHfz3xE=")</f>
        <v>#REF!</v>
      </c>
      <c r="S1" t="e">
        <f>AND(#REF!,"AAAAAHfz3xI=")</f>
        <v>#REF!</v>
      </c>
      <c r="T1" t="e">
        <f>AND(#REF!,"AAAAAHfz3xM=")</f>
        <v>#REF!</v>
      </c>
      <c r="U1" t="e">
        <f>AND(#REF!,"AAAAAHfz3xQ=")</f>
        <v>#REF!</v>
      </c>
      <c r="V1" t="e">
        <f>AND(#REF!,"AAAAAHfz3xU=")</f>
        <v>#REF!</v>
      </c>
      <c r="W1" t="e">
        <f>AND(#REF!,"AAAAAHfz3xY=")</f>
        <v>#REF!</v>
      </c>
      <c r="X1" t="e">
        <f>AND(#REF!,"AAAAAHfz3xc=")</f>
        <v>#REF!</v>
      </c>
      <c r="Y1" t="e">
        <f>AND(#REF!,"AAAAAHfz3xg=")</f>
        <v>#REF!</v>
      </c>
      <c r="Z1" t="e">
        <f>AND(#REF!,"AAAAAHfz3xk=")</f>
        <v>#REF!</v>
      </c>
      <c r="AA1" t="e">
        <f>AND(#REF!,"AAAAAHfz3xo=")</f>
        <v>#REF!</v>
      </c>
      <c r="AB1" t="e">
        <f>IF(#REF!,"AAAAAHfz3xs=",0)</f>
        <v>#REF!</v>
      </c>
      <c r="AC1" t="e">
        <f>AND(#REF!,"AAAAAHfz3xw=")</f>
        <v>#REF!</v>
      </c>
      <c r="AD1" t="e">
        <f>AND(#REF!,"AAAAAHfz3x0=")</f>
        <v>#REF!</v>
      </c>
      <c r="AE1" t="e">
        <f>AND(#REF!,"AAAAAHfz3x4=")</f>
        <v>#REF!</v>
      </c>
      <c r="AF1" t="e">
        <f>AND(#REF!,"AAAAAHfz3x8=")</f>
        <v>#REF!</v>
      </c>
      <c r="AG1" t="e">
        <f>AND(#REF!,"AAAAAHfz3yA=")</f>
        <v>#REF!</v>
      </c>
      <c r="AH1" t="e">
        <f>AND(#REF!,"AAAAAHfz3yE=")</f>
        <v>#REF!</v>
      </c>
      <c r="AI1" t="e">
        <f>AND(#REF!,"AAAAAHfz3yI=")</f>
        <v>#REF!</v>
      </c>
      <c r="AJ1" t="e">
        <f>AND(#REF!,"AAAAAHfz3yM=")</f>
        <v>#REF!</v>
      </c>
      <c r="AK1" t="e">
        <f>AND(#REF!,"AAAAAHfz3yQ=")</f>
        <v>#REF!</v>
      </c>
      <c r="AL1" t="e">
        <f>AND(#REF!,"AAAAAHfz3yU=")</f>
        <v>#REF!</v>
      </c>
      <c r="AM1" t="e">
        <f>AND(#REF!,"AAAAAHfz3yY=")</f>
        <v>#REF!</v>
      </c>
      <c r="AN1" t="e">
        <f>AND(#REF!,"AAAAAHfz3yc=")</f>
        <v>#REF!</v>
      </c>
      <c r="AO1" t="e">
        <f>AND(#REF!,"AAAAAHfz3yg=")</f>
        <v>#REF!</v>
      </c>
      <c r="AP1" t="e">
        <f>AND(#REF!,"AAAAAHfz3yk=")</f>
        <v>#REF!</v>
      </c>
      <c r="AQ1" t="e">
        <f>AND(#REF!,"AAAAAHfz3yo=")</f>
        <v>#REF!</v>
      </c>
      <c r="AR1" t="e">
        <f>AND(#REF!,"AAAAAHfz3ys=")</f>
        <v>#REF!</v>
      </c>
      <c r="AS1" t="e">
        <f>AND(#REF!,"AAAAAHfz3yw=")</f>
        <v>#REF!</v>
      </c>
      <c r="AT1" t="e">
        <f>AND(#REF!,"AAAAAHfz3y0=")</f>
        <v>#REF!</v>
      </c>
      <c r="AU1" t="e">
        <f>AND(#REF!,"AAAAAHfz3y4=")</f>
        <v>#REF!</v>
      </c>
      <c r="AV1" t="e">
        <f>AND(#REF!,"AAAAAHfz3y8=")</f>
        <v>#REF!</v>
      </c>
      <c r="AW1" t="e">
        <f>AND(#REF!,"AAAAAHfz3zA=")</f>
        <v>#REF!</v>
      </c>
      <c r="AX1" t="e">
        <f>AND(#REF!,"AAAAAHfz3zE=")</f>
        <v>#REF!</v>
      </c>
      <c r="AY1" t="e">
        <f>AND(#REF!,"AAAAAHfz3zI=")</f>
        <v>#REF!</v>
      </c>
      <c r="AZ1" t="e">
        <f>AND(#REF!,"AAAAAHfz3zM=")</f>
        <v>#REF!</v>
      </c>
      <c r="BA1" t="e">
        <f>AND(#REF!,"AAAAAHfz3zQ=")</f>
        <v>#REF!</v>
      </c>
      <c r="BB1" t="e">
        <f>AND(#REF!,"AAAAAHfz3zU=")</f>
        <v>#REF!</v>
      </c>
      <c r="BC1" t="e">
        <f>IF(#REF!,"AAAAAHfz3zY=",0)</f>
        <v>#REF!</v>
      </c>
      <c r="BD1" t="e">
        <f>AND(#REF!,"AAAAAHfz3zc=")</f>
        <v>#REF!</v>
      </c>
      <c r="BE1" t="e">
        <f>AND(#REF!,"AAAAAHfz3zg=")</f>
        <v>#REF!</v>
      </c>
      <c r="BF1" t="e">
        <f>AND(#REF!,"AAAAAHfz3zk=")</f>
        <v>#REF!</v>
      </c>
      <c r="BG1" t="e">
        <f>AND(#REF!,"AAAAAHfz3zo=")</f>
        <v>#REF!</v>
      </c>
      <c r="BH1" t="e">
        <f>AND(#REF!,"AAAAAHfz3zs=")</f>
        <v>#REF!</v>
      </c>
      <c r="BI1" t="e">
        <f>AND(#REF!,"AAAAAHfz3zw=")</f>
        <v>#REF!</v>
      </c>
      <c r="BJ1" t="e">
        <f>AND(#REF!,"AAAAAHfz3z0=")</f>
        <v>#REF!</v>
      </c>
      <c r="BK1" t="e">
        <f>AND(#REF!,"AAAAAHfz3z4=")</f>
        <v>#REF!</v>
      </c>
      <c r="BL1" t="e">
        <f>AND(#REF!,"AAAAAHfz3z8=")</f>
        <v>#REF!</v>
      </c>
      <c r="BM1" t="e">
        <f>AND(#REF!,"AAAAAHfz30A=")</f>
        <v>#REF!</v>
      </c>
      <c r="BN1" t="e">
        <f>AND(#REF!,"AAAAAHfz30E=")</f>
        <v>#REF!</v>
      </c>
      <c r="BO1" t="e">
        <f>AND(#REF!,"AAAAAHfz30I=")</f>
        <v>#REF!</v>
      </c>
      <c r="BP1" t="e">
        <f>AND(#REF!,"AAAAAHfz30M=")</f>
        <v>#REF!</v>
      </c>
      <c r="BQ1" t="e">
        <f>AND(#REF!,"AAAAAHfz30Q=")</f>
        <v>#REF!</v>
      </c>
      <c r="BR1" t="e">
        <f>AND(#REF!,"AAAAAHfz30U=")</f>
        <v>#REF!</v>
      </c>
      <c r="BS1" t="e">
        <f>AND(#REF!,"AAAAAHfz30Y=")</f>
        <v>#REF!</v>
      </c>
      <c r="BT1" t="e">
        <f>AND(#REF!,"AAAAAHfz30c=")</f>
        <v>#REF!</v>
      </c>
      <c r="BU1" t="e">
        <f>AND(#REF!,"AAAAAHfz30g=")</f>
        <v>#REF!</v>
      </c>
      <c r="BV1" t="e">
        <f>AND(#REF!,"AAAAAHfz30k=")</f>
        <v>#REF!</v>
      </c>
      <c r="BW1" t="e">
        <f>AND(#REF!,"AAAAAHfz30o=")</f>
        <v>#REF!</v>
      </c>
      <c r="BX1" t="e">
        <f>AND(#REF!,"AAAAAHfz30s=")</f>
        <v>#REF!</v>
      </c>
      <c r="BY1" t="e">
        <f>AND(#REF!,"AAAAAHfz30w=")</f>
        <v>#REF!</v>
      </c>
      <c r="BZ1" t="e">
        <f>AND(#REF!,"AAAAAHfz300=")</f>
        <v>#REF!</v>
      </c>
      <c r="CA1" t="e">
        <f>AND(#REF!,"AAAAAHfz304=")</f>
        <v>#REF!</v>
      </c>
      <c r="CB1" t="e">
        <f>AND(#REF!,"AAAAAHfz308=")</f>
        <v>#REF!</v>
      </c>
      <c r="CC1" t="e">
        <f>AND(#REF!,"AAAAAHfz31A=")</f>
        <v>#REF!</v>
      </c>
      <c r="CD1" t="e">
        <f>IF(#REF!,"AAAAAHfz31E=",0)</f>
        <v>#REF!</v>
      </c>
      <c r="CE1" t="e">
        <f>AND(#REF!,"AAAAAHfz31I=")</f>
        <v>#REF!</v>
      </c>
      <c r="CF1" t="e">
        <f>AND(#REF!,"AAAAAHfz31M=")</f>
        <v>#REF!</v>
      </c>
      <c r="CG1" t="e">
        <f>AND(#REF!,"AAAAAHfz31Q=")</f>
        <v>#REF!</v>
      </c>
      <c r="CH1" t="e">
        <f>AND(#REF!,"AAAAAHfz31U=")</f>
        <v>#REF!</v>
      </c>
      <c r="CI1" t="e">
        <f>AND(#REF!,"AAAAAHfz31Y=")</f>
        <v>#REF!</v>
      </c>
      <c r="CJ1" t="e">
        <f>AND(#REF!,"AAAAAHfz31c=")</f>
        <v>#REF!</v>
      </c>
      <c r="CK1" t="e">
        <f>AND(#REF!,"AAAAAHfz31g=")</f>
        <v>#REF!</v>
      </c>
      <c r="CL1" t="e">
        <f>AND(#REF!,"AAAAAHfz31k=")</f>
        <v>#REF!</v>
      </c>
      <c r="CM1" t="e">
        <f>AND(#REF!,"AAAAAHfz31o=")</f>
        <v>#REF!</v>
      </c>
      <c r="CN1" t="e">
        <f>AND(#REF!,"AAAAAHfz31s=")</f>
        <v>#REF!</v>
      </c>
      <c r="CO1" t="e">
        <f>AND(#REF!,"AAAAAHfz31w=")</f>
        <v>#REF!</v>
      </c>
      <c r="CP1" t="e">
        <f>AND(#REF!,"AAAAAHfz310=")</f>
        <v>#REF!</v>
      </c>
      <c r="CQ1" t="e">
        <f>AND(#REF!,"AAAAAHfz314=")</f>
        <v>#REF!</v>
      </c>
      <c r="CR1" t="e">
        <f>AND(#REF!,"AAAAAHfz318=")</f>
        <v>#REF!</v>
      </c>
      <c r="CS1" t="e">
        <f>AND(#REF!,"AAAAAHfz32A=")</f>
        <v>#REF!</v>
      </c>
      <c r="CT1" t="e">
        <f>AND(#REF!,"AAAAAHfz32E=")</f>
        <v>#REF!</v>
      </c>
      <c r="CU1" t="e">
        <f>AND(#REF!,"AAAAAHfz32I=")</f>
        <v>#REF!</v>
      </c>
      <c r="CV1" t="e">
        <f>AND(#REF!,"AAAAAHfz32M=")</f>
        <v>#REF!</v>
      </c>
      <c r="CW1" t="e">
        <f>AND(#REF!,"AAAAAHfz32Q=")</f>
        <v>#REF!</v>
      </c>
      <c r="CX1" t="e">
        <f>AND(#REF!,"AAAAAHfz32U=")</f>
        <v>#REF!</v>
      </c>
      <c r="CY1" t="e">
        <f>AND(#REF!,"AAAAAHfz32Y=")</f>
        <v>#REF!</v>
      </c>
      <c r="CZ1" t="e">
        <f>AND(#REF!,"AAAAAHfz32c=")</f>
        <v>#REF!</v>
      </c>
      <c r="DA1" t="e">
        <f>AND(#REF!,"AAAAAHfz32g=")</f>
        <v>#REF!</v>
      </c>
      <c r="DB1" t="e">
        <f>AND(#REF!,"AAAAAHfz32k=")</f>
        <v>#REF!</v>
      </c>
      <c r="DC1" t="e">
        <f>AND(#REF!,"AAAAAHfz32o=")</f>
        <v>#REF!</v>
      </c>
      <c r="DD1" t="e">
        <f>AND(#REF!,"AAAAAHfz32s=")</f>
        <v>#REF!</v>
      </c>
      <c r="DE1" t="e">
        <f>IF(#REF!,"AAAAAHfz32w=",0)</f>
        <v>#REF!</v>
      </c>
      <c r="DF1" t="e">
        <f>AND(#REF!,"AAAAAHfz320=")</f>
        <v>#REF!</v>
      </c>
      <c r="DG1" t="e">
        <f>AND(#REF!,"AAAAAHfz324=")</f>
        <v>#REF!</v>
      </c>
      <c r="DH1" t="e">
        <f>AND(#REF!,"AAAAAHfz328=")</f>
        <v>#REF!</v>
      </c>
      <c r="DI1" t="e">
        <f>AND(#REF!,"AAAAAHfz33A=")</f>
        <v>#REF!</v>
      </c>
      <c r="DJ1" t="e">
        <f>AND(#REF!,"AAAAAHfz33E=")</f>
        <v>#REF!</v>
      </c>
      <c r="DK1" t="e">
        <f>AND(#REF!,"AAAAAHfz33I=")</f>
        <v>#REF!</v>
      </c>
      <c r="DL1" t="e">
        <f>AND(#REF!,"AAAAAHfz33M=")</f>
        <v>#REF!</v>
      </c>
      <c r="DM1" t="e">
        <f>AND(#REF!,"AAAAAHfz33Q=")</f>
        <v>#REF!</v>
      </c>
      <c r="DN1" t="e">
        <f>AND(#REF!,"AAAAAHfz33U=")</f>
        <v>#REF!</v>
      </c>
      <c r="DO1" t="e">
        <f>AND(#REF!,"AAAAAHfz33Y=")</f>
        <v>#REF!</v>
      </c>
      <c r="DP1" t="e">
        <f>AND(#REF!,"AAAAAHfz33c=")</f>
        <v>#REF!</v>
      </c>
      <c r="DQ1" t="e">
        <f>AND(#REF!,"AAAAAHfz33g=")</f>
        <v>#REF!</v>
      </c>
      <c r="DR1" t="e">
        <f>AND(#REF!,"AAAAAHfz33k=")</f>
        <v>#REF!</v>
      </c>
      <c r="DS1" t="e">
        <f>AND(#REF!,"AAAAAHfz33o=")</f>
        <v>#REF!</v>
      </c>
      <c r="DT1" t="e">
        <f>AND(#REF!,"AAAAAHfz33s=")</f>
        <v>#REF!</v>
      </c>
      <c r="DU1" t="e">
        <f>AND(#REF!,"AAAAAHfz33w=")</f>
        <v>#REF!</v>
      </c>
      <c r="DV1" t="e">
        <f>AND(#REF!,"AAAAAHfz330=")</f>
        <v>#REF!</v>
      </c>
      <c r="DW1" t="e">
        <f>AND(#REF!,"AAAAAHfz334=")</f>
        <v>#REF!</v>
      </c>
      <c r="DX1" t="e">
        <f>AND(#REF!,"AAAAAHfz338=")</f>
        <v>#REF!</v>
      </c>
      <c r="DY1" t="e">
        <f>AND(#REF!,"AAAAAHfz34A=")</f>
        <v>#REF!</v>
      </c>
      <c r="DZ1" t="e">
        <f>AND(#REF!,"AAAAAHfz34E=")</f>
        <v>#REF!</v>
      </c>
      <c r="EA1" t="e">
        <f>AND(#REF!,"AAAAAHfz34I=")</f>
        <v>#REF!</v>
      </c>
      <c r="EB1" t="e">
        <f>AND(#REF!,"AAAAAHfz34M=")</f>
        <v>#REF!</v>
      </c>
      <c r="EC1" t="e">
        <f>AND(#REF!,"AAAAAHfz34Q=")</f>
        <v>#REF!</v>
      </c>
      <c r="ED1" t="e">
        <f>AND(#REF!,"AAAAAHfz34U=")</f>
        <v>#REF!</v>
      </c>
      <c r="EE1" t="e">
        <f>AND(#REF!,"AAAAAHfz34Y=")</f>
        <v>#REF!</v>
      </c>
      <c r="EF1" t="e">
        <f>IF(#REF!,"AAAAAHfz34c=",0)</f>
        <v>#REF!</v>
      </c>
      <c r="EG1" t="e">
        <f>AND(#REF!,"AAAAAHfz34g=")</f>
        <v>#REF!</v>
      </c>
      <c r="EH1" t="e">
        <f>AND(#REF!,"AAAAAHfz34k=")</f>
        <v>#REF!</v>
      </c>
      <c r="EI1" t="e">
        <f>AND(#REF!,"AAAAAHfz34o=")</f>
        <v>#REF!</v>
      </c>
      <c r="EJ1" t="e">
        <f>AND(#REF!,"AAAAAHfz34s=")</f>
        <v>#REF!</v>
      </c>
      <c r="EK1" t="e">
        <f>AND(#REF!,"AAAAAHfz34w=")</f>
        <v>#REF!</v>
      </c>
      <c r="EL1" t="e">
        <f>AND(#REF!,"AAAAAHfz340=")</f>
        <v>#REF!</v>
      </c>
      <c r="EM1" t="e">
        <f>AND(#REF!,"AAAAAHfz344=")</f>
        <v>#REF!</v>
      </c>
      <c r="EN1" t="e">
        <f>AND(#REF!,"AAAAAHfz348=")</f>
        <v>#REF!</v>
      </c>
      <c r="EO1" t="e">
        <f>AND(#REF!,"AAAAAHfz35A=")</f>
        <v>#REF!</v>
      </c>
      <c r="EP1" t="e">
        <f>AND(#REF!,"AAAAAHfz35E=")</f>
        <v>#REF!</v>
      </c>
      <c r="EQ1" t="e">
        <f>AND(#REF!,"AAAAAHfz35I=")</f>
        <v>#REF!</v>
      </c>
      <c r="ER1" t="e">
        <f>AND(#REF!,"AAAAAHfz35M=")</f>
        <v>#REF!</v>
      </c>
      <c r="ES1" t="e">
        <f>AND(#REF!,"AAAAAHfz35Q=")</f>
        <v>#REF!</v>
      </c>
      <c r="ET1" t="e">
        <f>AND(#REF!,"AAAAAHfz35U=")</f>
        <v>#REF!</v>
      </c>
      <c r="EU1" t="e">
        <f>AND(#REF!,"AAAAAHfz35Y=")</f>
        <v>#REF!</v>
      </c>
      <c r="EV1" t="e">
        <f>AND(#REF!,"AAAAAHfz35c=")</f>
        <v>#REF!</v>
      </c>
      <c r="EW1" t="e">
        <f>AND(#REF!,"AAAAAHfz35g=")</f>
        <v>#REF!</v>
      </c>
      <c r="EX1" t="e">
        <f>AND(#REF!,"AAAAAHfz35k=")</f>
        <v>#REF!</v>
      </c>
      <c r="EY1" t="e">
        <f>AND(#REF!,"AAAAAHfz35o=")</f>
        <v>#REF!</v>
      </c>
      <c r="EZ1" t="e">
        <f>AND(#REF!,"AAAAAHfz35s=")</f>
        <v>#REF!</v>
      </c>
      <c r="FA1" t="e">
        <f>AND(#REF!,"AAAAAHfz35w=")</f>
        <v>#REF!</v>
      </c>
      <c r="FB1" t="e">
        <f>AND(#REF!,"AAAAAHfz350=")</f>
        <v>#REF!</v>
      </c>
      <c r="FC1" t="e">
        <f>AND(#REF!,"AAAAAHfz354=")</f>
        <v>#REF!</v>
      </c>
      <c r="FD1" t="e">
        <f>AND(#REF!,"AAAAAHfz358=")</f>
        <v>#REF!</v>
      </c>
      <c r="FE1" t="e">
        <f>AND(#REF!,"AAAAAHfz36A=")</f>
        <v>#REF!</v>
      </c>
      <c r="FF1" t="e">
        <f>AND(#REF!,"AAAAAHfz36E=")</f>
        <v>#REF!</v>
      </c>
      <c r="FG1" t="e">
        <f>IF(#REF!,"AAAAAHfz36I=",0)</f>
        <v>#REF!</v>
      </c>
      <c r="FH1" t="e">
        <f>AND(#REF!,"AAAAAHfz36M=")</f>
        <v>#REF!</v>
      </c>
      <c r="FI1" t="e">
        <f>AND(#REF!,"AAAAAHfz36Q=")</f>
        <v>#REF!</v>
      </c>
      <c r="FJ1" t="e">
        <f>AND(#REF!,"AAAAAHfz36U=")</f>
        <v>#REF!</v>
      </c>
      <c r="FK1" t="e">
        <f>AND(#REF!,"AAAAAHfz36Y=")</f>
        <v>#REF!</v>
      </c>
      <c r="FL1" t="e">
        <f>AND(#REF!,"AAAAAHfz36c=")</f>
        <v>#REF!</v>
      </c>
      <c r="FM1" t="e">
        <f>AND(#REF!,"AAAAAHfz36g=")</f>
        <v>#REF!</v>
      </c>
      <c r="FN1" t="e">
        <f>AND(#REF!,"AAAAAHfz36k=")</f>
        <v>#REF!</v>
      </c>
      <c r="FO1" t="e">
        <f>AND(#REF!,"AAAAAHfz36o=")</f>
        <v>#REF!</v>
      </c>
      <c r="FP1" t="e">
        <f>AND(#REF!,"AAAAAHfz36s=")</f>
        <v>#REF!</v>
      </c>
      <c r="FQ1" t="e">
        <f>AND(#REF!,"AAAAAHfz36w=")</f>
        <v>#REF!</v>
      </c>
      <c r="FR1" t="e">
        <f>AND(#REF!,"AAAAAHfz360=")</f>
        <v>#REF!</v>
      </c>
      <c r="FS1" t="e">
        <f>AND(#REF!,"AAAAAHfz364=")</f>
        <v>#REF!</v>
      </c>
      <c r="FT1" t="e">
        <f>AND(#REF!,"AAAAAHfz368=")</f>
        <v>#REF!</v>
      </c>
      <c r="FU1" t="e">
        <f>AND(#REF!,"AAAAAHfz37A=")</f>
        <v>#REF!</v>
      </c>
      <c r="FV1" t="e">
        <f>AND(#REF!,"AAAAAHfz37E=")</f>
        <v>#REF!</v>
      </c>
      <c r="FW1" t="e">
        <f>AND(#REF!,"AAAAAHfz37I=")</f>
        <v>#REF!</v>
      </c>
      <c r="FX1" t="e">
        <f>AND(#REF!,"AAAAAHfz37M=")</f>
        <v>#REF!</v>
      </c>
      <c r="FY1" t="e">
        <f>AND(#REF!,"AAAAAHfz37Q=")</f>
        <v>#REF!</v>
      </c>
      <c r="FZ1" t="e">
        <f>AND(#REF!,"AAAAAHfz37U=")</f>
        <v>#REF!</v>
      </c>
      <c r="GA1" t="e">
        <f>AND(#REF!,"AAAAAHfz37Y=")</f>
        <v>#REF!</v>
      </c>
      <c r="GB1" t="e">
        <f>AND(#REF!,"AAAAAHfz37c=")</f>
        <v>#REF!</v>
      </c>
      <c r="GC1" t="e">
        <f>AND(#REF!,"AAAAAHfz37g=")</f>
        <v>#REF!</v>
      </c>
      <c r="GD1" t="e">
        <f>AND(#REF!,"AAAAAHfz37k=")</f>
        <v>#REF!</v>
      </c>
      <c r="GE1" t="e">
        <f>AND(#REF!,"AAAAAHfz37o=")</f>
        <v>#REF!</v>
      </c>
      <c r="GF1" t="e">
        <f>AND(#REF!,"AAAAAHfz37s=")</f>
        <v>#REF!</v>
      </c>
      <c r="GG1" t="e">
        <f>AND(#REF!,"AAAAAHfz37w=")</f>
        <v>#REF!</v>
      </c>
      <c r="GH1" t="e">
        <f>IF(#REF!,"AAAAAHfz370=",0)</f>
        <v>#REF!</v>
      </c>
      <c r="GI1" t="e">
        <f>AND(#REF!,"AAAAAHfz374=")</f>
        <v>#REF!</v>
      </c>
      <c r="GJ1" t="e">
        <f>AND(#REF!,"AAAAAHfz378=")</f>
        <v>#REF!</v>
      </c>
      <c r="GK1" t="e">
        <f>AND(#REF!,"AAAAAHfz38A=")</f>
        <v>#REF!</v>
      </c>
      <c r="GL1" t="e">
        <f>AND(#REF!,"AAAAAHfz38E=")</f>
        <v>#REF!</v>
      </c>
      <c r="GM1" t="e">
        <f>AND(#REF!,"AAAAAHfz38I=")</f>
        <v>#REF!</v>
      </c>
      <c r="GN1" t="e">
        <f>AND(#REF!,"AAAAAHfz38M=")</f>
        <v>#REF!</v>
      </c>
      <c r="GO1" t="e">
        <f>AND(#REF!,"AAAAAHfz38Q=")</f>
        <v>#REF!</v>
      </c>
      <c r="GP1" t="e">
        <f>AND(#REF!,"AAAAAHfz38U=")</f>
        <v>#REF!</v>
      </c>
      <c r="GQ1" t="e">
        <f>AND(#REF!,"AAAAAHfz38Y=")</f>
        <v>#REF!</v>
      </c>
      <c r="GR1" t="e">
        <f>AND(#REF!,"AAAAAHfz38c=")</f>
        <v>#REF!</v>
      </c>
      <c r="GS1" t="e">
        <f>AND(#REF!,"AAAAAHfz38g=")</f>
        <v>#REF!</v>
      </c>
      <c r="GT1" t="e">
        <f>AND(#REF!,"AAAAAHfz38k=")</f>
        <v>#REF!</v>
      </c>
      <c r="GU1" t="e">
        <f>AND(#REF!,"AAAAAHfz38o=")</f>
        <v>#REF!</v>
      </c>
      <c r="GV1" t="e">
        <f>AND(#REF!,"AAAAAHfz38s=")</f>
        <v>#REF!</v>
      </c>
      <c r="GW1" t="e">
        <f>AND(#REF!,"AAAAAHfz38w=")</f>
        <v>#REF!</v>
      </c>
      <c r="GX1" t="e">
        <f>AND(#REF!,"AAAAAHfz380=")</f>
        <v>#REF!</v>
      </c>
      <c r="GY1" t="e">
        <f>AND(#REF!,"AAAAAHfz384=")</f>
        <v>#REF!</v>
      </c>
      <c r="GZ1" t="e">
        <f>AND(#REF!,"AAAAAHfz388=")</f>
        <v>#REF!</v>
      </c>
      <c r="HA1" t="e">
        <f>AND(#REF!,"AAAAAHfz39A=")</f>
        <v>#REF!</v>
      </c>
      <c r="HB1" t="e">
        <f>AND(#REF!,"AAAAAHfz39E=")</f>
        <v>#REF!</v>
      </c>
      <c r="HC1" t="e">
        <f>AND(#REF!,"AAAAAHfz39I=")</f>
        <v>#REF!</v>
      </c>
      <c r="HD1" t="e">
        <f>AND(#REF!,"AAAAAHfz39M=")</f>
        <v>#REF!</v>
      </c>
      <c r="HE1" t="e">
        <f>AND(#REF!,"AAAAAHfz39Q=")</f>
        <v>#REF!</v>
      </c>
      <c r="HF1" t="e">
        <f>AND(#REF!,"AAAAAHfz39U=")</f>
        <v>#REF!</v>
      </c>
      <c r="HG1" t="e">
        <f>AND(#REF!,"AAAAAHfz39Y=")</f>
        <v>#REF!</v>
      </c>
      <c r="HH1" t="e">
        <f>AND(#REF!,"AAAAAHfz39c=")</f>
        <v>#REF!</v>
      </c>
      <c r="HI1" t="e">
        <f>IF(#REF!,"AAAAAHfz39g=",0)</f>
        <v>#REF!</v>
      </c>
      <c r="HJ1" t="e">
        <f>AND(#REF!,"AAAAAHfz39k=")</f>
        <v>#REF!</v>
      </c>
      <c r="HK1" t="e">
        <f>AND(#REF!,"AAAAAHfz39o=")</f>
        <v>#REF!</v>
      </c>
      <c r="HL1" t="e">
        <f>AND(#REF!,"AAAAAHfz39s=")</f>
        <v>#REF!</v>
      </c>
      <c r="HM1" t="e">
        <f>AND(#REF!,"AAAAAHfz39w=")</f>
        <v>#REF!</v>
      </c>
      <c r="HN1" t="e">
        <f>AND(#REF!,"AAAAAHfz390=")</f>
        <v>#REF!</v>
      </c>
      <c r="HO1" t="e">
        <f>AND(#REF!,"AAAAAHfz394=")</f>
        <v>#REF!</v>
      </c>
      <c r="HP1" t="e">
        <f>AND(#REF!,"AAAAAHfz398=")</f>
        <v>#REF!</v>
      </c>
      <c r="HQ1" t="e">
        <f>AND(#REF!,"AAAAAHfz3+A=")</f>
        <v>#REF!</v>
      </c>
      <c r="HR1" t="e">
        <f>AND(#REF!,"AAAAAHfz3+E=")</f>
        <v>#REF!</v>
      </c>
      <c r="HS1" t="e">
        <f>AND(#REF!,"AAAAAHfz3+I=")</f>
        <v>#REF!</v>
      </c>
      <c r="HT1" t="e">
        <f>AND(#REF!,"AAAAAHfz3+M=")</f>
        <v>#REF!</v>
      </c>
      <c r="HU1" t="e">
        <f>AND(#REF!,"AAAAAHfz3+Q=")</f>
        <v>#REF!</v>
      </c>
      <c r="HV1" t="e">
        <f>AND(#REF!,"AAAAAHfz3+U=")</f>
        <v>#REF!</v>
      </c>
      <c r="HW1" t="e">
        <f>AND(#REF!,"AAAAAHfz3+Y=")</f>
        <v>#REF!</v>
      </c>
      <c r="HX1" t="e">
        <f>AND(#REF!,"AAAAAHfz3+c=")</f>
        <v>#REF!</v>
      </c>
      <c r="HY1" t="e">
        <f>AND(#REF!,"AAAAAHfz3+g=")</f>
        <v>#REF!</v>
      </c>
      <c r="HZ1" t="e">
        <f>AND(#REF!,"AAAAAHfz3+k=")</f>
        <v>#REF!</v>
      </c>
      <c r="IA1" t="e">
        <f>AND(#REF!,"AAAAAHfz3+o=")</f>
        <v>#REF!</v>
      </c>
      <c r="IB1" t="e">
        <f>AND(#REF!,"AAAAAHfz3+s=")</f>
        <v>#REF!</v>
      </c>
      <c r="IC1" t="e">
        <f>AND(#REF!,"AAAAAHfz3+w=")</f>
        <v>#REF!</v>
      </c>
      <c r="ID1" t="e">
        <f>AND(#REF!,"AAAAAHfz3+0=")</f>
        <v>#REF!</v>
      </c>
      <c r="IE1" t="e">
        <f>AND(#REF!,"AAAAAHfz3+4=")</f>
        <v>#REF!</v>
      </c>
      <c r="IF1" t="e">
        <f>AND(#REF!,"AAAAAHfz3+8=")</f>
        <v>#REF!</v>
      </c>
      <c r="IG1" t="e">
        <f>AND(#REF!,"AAAAAHfz3/A=")</f>
        <v>#REF!</v>
      </c>
      <c r="IH1" t="e">
        <f>AND(#REF!,"AAAAAHfz3/E=")</f>
        <v>#REF!</v>
      </c>
      <c r="II1" t="e">
        <f>AND(#REF!,"AAAAAHfz3/I=")</f>
        <v>#REF!</v>
      </c>
      <c r="IJ1" t="e">
        <f>IF(#REF!,"AAAAAHfz3/M=",0)</f>
        <v>#REF!</v>
      </c>
      <c r="IK1" t="e">
        <f>AND(#REF!,"AAAAAHfz3/Q=")</f>
        <v>#REF!</v>
      </c>
      <c r="IL1" t="e">
        <f>AND(#REF!,"AAAAAHfz3/U=")</f>
        <v>#REF!</v>
      </c>
      <c r="IM1" t="e">
        <f>AND(#REF!,"AAAAAHfz3/Y=")</f>
        <v>#REF!</v>
      </c>
      <c r="IN1" t="e">
        <f>AND(#REF!,"AAAAAHfz3/c=")</f>
        <v>#REF!</v>
      </c>
      <c r="IO1" t="e">
        <f>AND(#REF!,"AAAAAHfz3/g=")</f>
        <v>#REF!</v>
      </c>
      <c r="IP1" t="e">
        <f>AND(#REF!,"AAAAAHfz3/k=")</f>
        <v>#REF!</v>
      </c>
      <c r="IQ1" t="e">
        <f>AND(#REF!,"AAAAAHfz3/o=")</f>
        <v>#REF!</v>
      </c>
      <c r="IR1" t="e">
        <f>AND(#REF!,"AAAAAHfz3/s=")</f>
        <v>#REF!</v>
      </c>
      <c r="IS1" t="e">
        <f>AND(#REF!,"AAAAAHfz3/w=")</f>
        <v>#REF!</v>
      </c>
      <c r="IT1" t="e">
        <f>AND(#REF!,"AAAAAHfz3/0=")</f>
        <v>#REF!</v>
      </c>
      <c r="IU1" t="e">
        <f>AND(#REF!,"AAAAAHfz3/4=")</f>
        <v>#REF!</v>
      </c>
      <c r="IV1" t="e">
        <f>AND(#REF!,"AAAAAHfz3/8=")</f>
        <v>#REF!</v>
      </c>
    </row>
    <row r="2" spans="1:256" x14ac:dyDescent="0.2">
      <c r="A2" t="e">
        <f>AND(#REF!,"AAAAABnt/QA=")</f>
        <v>#REF!</v>
      </c>
      <c r="B2" t="e">
        <f>AND(#REF!,"AAAAABnt/QE=")</f>
        <v>#REF!</v>
      </c>
      <c r="C2" t="e">
        <f>AND(#REF!,"AAAAABnt/QI=")</f>
        <v>#REF!</v>
      </c>
      <c r="D2" t="e">
        <f>AND(#REF!,"AAAAABnt/QM=")</f>
        <v>#REF!</v>
      </c>
      <c r="E2" t="e">
        <f>AND(#REF!,"AAAAABnt/QQ=")</f>
        <v>#REF!</v>
      </c>
      <c r="F2" t="e">
        <f>AND(#REF!,"AAAAABnt/QU=")</f>
        <v>#REF!</v>
      </c>
      <c r="G2" t="e">
        <f>AND(#REF!,"AAAAABnt/QY=")</f>
        <v>#REF!</v>
      </c>
      <c r="H2" t="e">
        <f>AND(#REF!,"AAAAABnt/Qc=")</f>
        <v>#REF!</v>
      </c>
      <c r="I2" t="e">
        <f>AND(#REF!,"AAAAABnt/Qg=")</f>
        <v>#REF!</v>
      </c>
      <c r="J2" t="e">
        <f>AND(#REF!,"AAAAABnt/Qk=")</f>
        <v>#REF!</v>
      </c>
      <c r="K2" t="e">
        <f>AND(#REF!,"AAAAABnt/Qo=")</f>
        <v>#REF!</v>
      </c>
      <c r="L2" t="e">
        <f>AND(#REF!,"AAAAABnt/Qs=")</f>
        <v>#REF!</v>
      </c>
      <c r="M2" t="e">
        <f>AND(#REF!,"AAAAABnt/Qw=")</f>
        <v>#REF!</v>
      </c>
      <c r="N2" t="e">
        <f>AND(#REF!,"AAAAABnt/Q0=")</f>
        <v>#REF!</v>
      </c>
      <c r="O2" t="e">
        <f>IF(#REF!,"AAAAABnt/Q4=",0)</f>
        <v>#REF!</v>
      </c>
      <c r="P2" t="e">
        <f>AND(#REF!,"AAAAABnt/Q8=")</f>
        <v>#REF!</v>
      </c>
      <c r="Q2" t="e">
        <f>AND(#REF!,"AAAAABnt/RA=")</f>
        <v>#REF!</v>
      </c>
      <c r="R2" t="e">
        <f>AND(#REF!,"AAAAABnt/RE=")</f>
        <v>#REF!</v>
      </c>
      <c r="S2" t="e">
        <f>AND(#REF!,"AAAAABnt/RI=")</f>
        <v>#REF!</v>
      </c>
      <c r="T2" t="e">
        <f>AND(#REF!,"AAAAABnt/RM=")</f>
        <v>#REF!</v>
      </c>
      <c r="U2" t="e">
        <f>AND(#REF!,"AAAAABnt/RQ=")</f>
        <v>#REF!</v>
      </c>
      <c r="V2" t="e">
        <f>AND(#REF!,"AAAAABnt/RU=")</f>
        <v>#REF!</v>
      </c>
      <c r="W2" t="e">
        <f>AND(#REF!,"AAAAABnt/RY=")</f>
        <v>#REF!</v>
      </c>
      <c r="X2" t="e">
        <f>AND(#REF!,"AAAAABnt/Rc=")</f>
        <v>#REF!</v>
      </c>
      <c r="Y2" t="e">
        <f>AND(#REF!,"AAAAABnt/Rg=")</f>
        <v>#REF!</v>
      </c>
      <c r="Z2" t="e">
        <f>AND(#REF!,"AAAAABnt/Rk=")</f>
        <v>#REF!</v>
      </c>
      <c r="AA2" t="e">
        <f>AND(#REF!,"AAAAABnt/Ro=")</f>
        <v>#REF!</v>
      </c>
      <c r="AB2" t="e">
        <f>AND(#REF!,"AAAAABnt/Rs=")</f>
        <v>#REF!</v>
      </c>
      <c r="AC2" t="e">
        <f>AND(#REF!,"AAAAABnt/Rw=")</f>
        <v>#REF!</v>
      </c>
      <c r="AD2" t="e">
        <f>AND(#REF!,"AAAAABnt/R0=")</f>
        <v>#REF!</v>
      </c>
      <c r="AE2" t="e">
        <f>AND(#REF!,"AAAAABnt/R4=")</f>
        <v>#REF!</v>
      </c>
      <c r="AF2" t="e">
        <f>AND(#REF!,"AAAAABnt/R8=")</f>
        <v>#REF!</v>
      </c>
      <c r="AG2" t="e">
        <f>AND(#REF!,"AAAAABnt/SA=")</f>
        <v>#REF!</v>
      </c>
      <c r="AH2" t="e">
        <f>AND(#REF!,"AAAAABnt/SE=")</f>
        <v>#REF!</v>
      </c>
      <c r="AI2" t="e">
        <f>AND(#REF!,"AAAAABnt/SI=")</f>
        <v>#REF!</v>
      </c>
      <c r="AJ2" t="e">
        <f>AND(#REF!,"AAAAABnt/SM=")</f>
        <v>#REF!</v>
      </c>
      <c r="AK2" t="e">
        <f>AND(#REF!,"AAAAABnt/SQ=")</f>
        <v>#REF!</v>
      </c>
      <c r="AL2" t="e">
        <f>AND(#REF!,"AAAAABnt/SU=")</f>
        <v>#REF!</v>
      </c>
      <c r="AM2" t="e">
        <f>AND(#REF!,"AAAAABnt/SY=")</f>
        <v>#REF!</v>
      </c>
      <c r="AN2" t="e">
        <f>AND(#REF!,"AAAAABnt/Sc=")</f>
        <v>#REF!</v>
      </c>
      <c r="AO2" t="e">
        <f>AND(#REF!,"AAAAABnt/Sg=")</f>
        <v>#REF!</v>
      </c>
      <c r="AP2" t="e">
        <f>IF(#REF!,"AAAAABnt/Sk=",0)</f>
        <v>#REF!</v>
      </c>
      <c r="AQ2" t="e">
        <f>AND(#REF!,"AAAAABnt/So=")</f>
        <v>#REF!</v>
      </c>
      <c r="AR2" t="e">
        <f>AND(#REF!,"AAAAABnt/Ss=")</f>
        <v>#REF!</v>
      </c>
      <c r="AS2" t="e">
        <f>AND(#REF!,"AAAAABnt/Sw=")</f>
        <v>#REF!</v>
      </c>
      <c r="AT2" t="e">
        <f>AND(#REF!,"AAAAABnt/S0=")</f>
        <v>#REF!</v>
      </c>
      <c r="AU2" t="e">
        <f>AND(#REF!,"AAAAABnt/S4=")</f>
        <v>#REF!</v>
      </c>
      <c r="AV2" t="e">
        <f>AND(#REF!,"AAAAABnt/S8=")</f>
        <v>#REF!</v>
      </c>
      <c r="AW2" t="e">
        <f>AND(#REF!,"AAAAABnt/TA=")</f>
        <v>#REF!</v>
      </c>
      <c r="AX2" t="e">
        <f>AND(#REF!,"AAAAABnt/TE=")</f>
        <v>#REF!</v>
      </c>
      <c r="AY2" t="e">
        <f>AND(#REF!,"AAAAABnt/TI=")</f>
        <v>#REF!</v>
      </c>
      <c r="AZ2" t="e">
        <f>AND(#REF!,"AAAAABnt/TM=")</f>
        <v>#REF!</v>
      </c>
      <c r="BA2" t="e">
        <f>AND(#REF!,"AAAAABnt/TQ=")</f>
        <v>#REF!</v>
      </c>
      <c r="BB2" t="e">
        <f>AND(#REF!,"AAAAABnt/TU=")</f>
        <v>#REF!</v>
      </c>
      <c r="BC2" t="e">
        <f>AND(#REF!,"AAAAABnt/TY=")</f>
        <v>#REF!</v>
      </c>
      <c r="BD2" t="e">
        <f>AND(#REF!,"AAAAABnt/Tc=")</f>
        <v>#REF!</v>
      </c>
      <c r="BE2" t="e">
        <f>AND(#REF!,"AAAAABnt/Tg=")</f>
        <v>#REF!</v>
      </c>
      <c r="BF2" t="e">
        <f>AND(#REF!,"AAAAABnt/Tk=")</f>
        <v>#REF!</v>
      </c>
      <c r="BG2" t="e">
        <f>AND(#REF!,"AAAAABnt/To=")</f>
        <v>#REF!</v>
      </c>
      <c r="BH2" t="e">
        <f>AND(#REF!,"AAAAABnt/Ts=")</f>
        <v>#REF!</v>
      </c>
      <c r="BI2" t="e">
        <f>AND(#REF!,"AAAAABnt/Tw=")</f>
        <v>#REF!</v>
      </c>
      <c r="BJ2" t="e">
        <f>AND(#REF!,"AAAAABnt/T0=")</f>
        <v>#REF!</v>
      </c>
      <c r="BK2" t="e">
        <f>AND(#REF!,"AAAAABnt/T4=")</f>
        <v>#REF!</v>
      </c>
      <c r="BL2" t="e">
        <f>AND(#REF!,"AAAAABnt/T8=")</f>
        <v>#REF!</v>
      </c>
      <c r="BM2" t="e">
        <f>AND(#REF!,"AAAAABnt/UA=")</f>
        <v>#REF!</v>
      </c>
      <c r="BN2" t="e">
        <f>AND(#REF!,"AAAAABnt/UE=")</f>
        <v>#REF!</v>
      </c>
      <c r="BO2" t="e">
        <f>AND(#REF!,"AAAAABnt/UI=")</f>
        <v>#REF!</v>
      </c>
      <c r="BP2" t="e">
        <f>AND(#REF!,"AAAAABnt/UM=")</f>
        <v>#REF!</v>
      </c>
      <c r="BQ2" t="e">
        <f>IF(#REF!,"AAAAABnt/UQ=",0)</f>
        <v>#REF!</v>
      </c>
      <c r="BR2" t="e">
        <f>AND(#REF!,"AAAAABnt/UU=")</f>
        <v>#REF!</v>
      </c>
      <c r="BS2" t="e">
        <f>AND(#REF!,"AAAAABnt/UY=")</f>
        <v>#REF!</v>
      </c>
      <c r="BT2" t="e">
        <f>AND(#REF!,"AAAAABnt/Uc=")</f>
        <v>#REF!</v>
      </c>
      <c r="BU2" t="e">
        <f>AND(#REF!,"AAAAABnt/Ug=")</f>
        <v>#REF!</v>
      </c>
      <c r="BV2" t="e">
        <f>AND(#REF!,"AAAAABnt/Uk=")</f>
        <v>#REF!</v>
      </c>
      <c r="BW2" t="e">
        <f>AND(#REF!,"AAAAABnt/Uo=")</f>
        <v>#REF!</v>
      </c>
      <c r="BX2" t="e">
        <f>AND(#REF!,"AAAAABnt/Us=")</f>
        <v>#REF!</v>
      </c>
      <c r="BY2" t="e">
        <f>AND(#REF!,"AAAAABnt/Uw=")</f>
        <v>#REF!</v>
      </c>
      <c r="BZ2" t="e">
        <f>AND(#REF!,"AAAAABnt/U0=")</f>
        <v>#REF!</v>
      </c>
      <c r="CA2" t="e">
        <f>AND(#REF!,"AAAAABnt/U4=")</f>
        <v>#REF!</v>
      </c>
      <c r="CB2" t="e">
        <f>AND(#REF!,"AAAAABnt/U8=")</f>
        <v>#REF!</v>
      </c>
      <c r="CC2" t="e">
        <f>AND(#REF!,"AAAAABnt/VA=")</f>
        <v>#REF!</v>
      </c>
      <c r="CD2" t="e">
        <f>AND(#REF!,"AAAAABnt/VE=")</f>
        <v>#REF!</v>
      </c>
      <c r="CE2" t="e">
        <f>AND(#REF!,"AAAAABnt/VI=")</f>
        <v>#REF!</v>
      </c>
      <c r="CF2" t="e">
        <f>AND(#REF!,"AAAAABnt/VM=")</f>
        <v>#REF!</v>
      </c>
      <c r="CG2" t="e">
        <f>AND(#REF!,"AAAAABnt/VQ=")</f>
        <v>#REF!</v>
      </c>
      <c r="CH2" t="e">
        <f>AND(#REF!,"AAAAABnt/VU=")</f>
        <v>#REF!</v>
      </c>
      <c r="CI2" t="e">
        <f>AND(#REF!,"AAAAABnt/VY=")</f>
        <v>#REF!</v>
      </c>
      <c r="CJ2" t="e">
        <f>AND(#REF!,"AAAAABnt/Vc=")</f>
        <v>#REF!</v>
      </c>
      <c r="CK2" t="e">
        <f>AND(#REF!,"AAAAABnt/Vg=")</f>
        <v>#REF!</v>
      </c>
      <c r="CL2" t="e">
        <f>AND(#REF!,"AAAAABnt/Vk=")</f>
        <v>#REF!</v>
      </c>
      <c r="CM2" t="e">
        <f>AND(#REF!,"AAAAABnt/Vo=")</f>
        <v>#REF!</v>
      </c>
      <c r="CN2" t="e">
        <f>AND(#REF!,"AAAAABnt/Vs=")</f>
        <v>#REF!</v>
      </c>
      <c r="CO2" t="e">
        <f>AND(#REF!,"AAAAABnt/Vw=")</f>
        <v>#REF!</v>
      </c>
      <c r="CP2" t="e">
        <f>AND(#REF!,"AAAAABnt/V0=")</f>
        <v>#REF!</v>
      </c>
      <c r="CQ2" t="e">
        <f>AND(#REF!,"AAAAABnt/V4=")</f>
        <v>#REF!</v>
      </c>
      <c r="CR2" t="e">
        <f>IF(#REF!,"AAAAABnt/V8=",0)</f>
        <v>#REF!</v>
      </c>
      <c r="CS2" t="e">
        <f>AND(#REF!,"AAAAABnt/WA=")</f>
        <v>#REF!</v>
      </c>
      <c r="CT2" t="e">
        <f>AND(#REF!,"AAAAABnt/WE=")</f>
        <v>#REF!</v>
      </c>
      <c r="CU2" t="e">
        <f>AND(#REF!,"AAAAABnt/WI=")</f>
        <v>#REF!</v>
      </c>
      <c r="CV2" t="e">
        <f>AND(#REF!,"AAAAABnt/WM=")</f>
        <v>#REF!</v>
      </c>
      <c r="CW2" t="e">
        <f>AND(#REF!,"AAAAABnt/WQ=")</f>
        <v>#REF!</v>
      </c>
      <c r="CX2" t="e">
        <f>AND(#REF!,"AAAAABnt/WU=")</f>
        <v>#REF!</v>
      </c>
      <c r="CY2" t="e">
        <f>AND(#REF!,"AAAAABnt/WY=")</f>
        <v>#REF!</v>
      </c>
      <c r="CZ2" t="e">
        <f>AND(#REF!,"AAAAABnt/Wc=")</f>
        <v>#REF!</v>
      </c>
      <c r="DA2" t="e">
        <f>AND(#REF!,"AAAAABnt/Wg=")</f>
        <v>#REF!</v>
      </c>
      <c r="DB2" t="e">
        <f>AND(#REF!,"AAAAABnt/Wk=")</f>
        <v>#REF!</v>
      </c>
      <c r="DC2" t="e">
        <f>AND(#REF!,"AAAAABnt/Wo=")</f>
        <v>#REF!</v>
      </c>
      <c r="DD2" t="e">
        <f>AND(#REF!,"AAAAABnt/Ws=")</f>
        <v>#REF!</v>
      </c>
      <c r="DE2" t="e">
        <f>AND(#REF!,"AAAAABnt/Ww=")</f>
        <v>#REF!</v>
      </c>
      <c r="DF2" t="e">
        <f>AND(#REF!,"AAAAABnt/W0=")</f>
        <v>#REF!</v>
      </c>
      <c r="DG2" t="e">
        <f>AND(#REF!,"AAAAABnt/W4=")</f>
        <v>#REF!</v>
      </c>
      <c r="DH2" t="e">
        <f>AND(#REF!,"AAAAABnt/W8=")</f>
        <v>#REF!</v>
      </c>
      <c r="DI2" t="e">
        <f>AND(#REF!,"AAAAABnt/XA=")</f>
        <v>#REF!</v>
      </c>
      <c r="DJ2" t="e">
        <f>AND(#REF!,"AAAAABnt/XE=")</f>
        <v>#REF!</v>
      </c>
      <c r="DK2" t="e">
        <f>AND(#REF!,"AAAAABnt/XI=")</f>
        <v>#REF!</v>
      </c>
      <c r="DL2" t="e">
        <f>AND(#REF!,"AAAAABnt/XM=")</f>
        <v>#REF!</v>
      </c>
      <c r="DM2" t="e">
        <f>AND(#REF!,"AAAAABnt/XQ=")</f>
        <v>#REF!</v>
      </c>
      <c r="DN2" t="e">
        <f>AND(#REF!,"AAAAABnt/XU=")</f>
        <v>#REF!</v>
      </c>
      <c r="DO2" t="e">
        <f>AND(#REF!,"AAAAABnt/XY=")</f>
        <v>#REF!</v>
      </c>
      <c r="DP2" t="e">
        <f>AND(#REF!,"AAAAABnt/Xc=")</f>
        <v>#REF!</v>
      </c>
      <c r="DQ2" t="e">
        <f>AND(#REF!,"AAAAABnt/Xg=")</f>
        <v>#REF!</v>
      </c>
      <c r="DR2" t="e">
        <f>AND(#REF!,"AAAAABnt/Xk=")</f>
        <v>#REF!</v>
      </c>
      <c r="DS2" t="e">
        <f>IF(#REF!,"AAAAABnt/Xo=",0)</f>
        <v>#REF!</v>
      </c>
      <c r="DT2" t="e">
        <f>AND(#REF!,"AAAAABnt/Xs=")</f>
        <v>#REF!</v>
      </c>
      <c r="DU2" t="e">
        <f>AND(#REF!,"AAAAABnt/Xw=")</f>
        <v>#REF!</v>
      </c>
      <c r="DV2" t="e">
        <f>AND(#REF!,"AAAAABnt/X0=")</f>
        <v>#REF!</v>
      </c>
      <c r="DW2" t="e">
        <f>AND(#REF!,"AAAAABnt/X4=")</f>
        <v>#REF!</v>
      </c>
      <c r="DX2" t="e">
        <f>AND(#REF!,"AAAAABnt/X8=")</f>
        <v>#REF!</v>
      </c>
      <c r="DY2" t="e">
        <f>AND(#REF!,"AAAAABnt/YA=")</f>
        <v>#REF!</v>
      </c>
      <c r="DZ2" t="e">
        <f>AND(#REF!,"AAAAABnt/YE=")</f>
        <v>#REF!</v>
      </c>
      <c r="EA2" t="e">
        <f>AND(#REF!,"AAAAABnt/YI=")</f>
        <v>#REF!</v>
      </c>
      <c r="EB2" t="e">
        <f>AND(#REF!,"AAAAABnt/YM=")</f>
        <v>#REF!</v>
      </c>
      <c r="EC2" t="e">
        <f>AND(#REF!,"AAAAABnt/YQ=")</f>
        <v>#REF!</v>
      </c>
      <c r="ED2" t="e">
        <f>AND(#REF!,"AAAAABnt/YU=")</f>
        <v>#REF!</v>
      </c>
      <c r="EE2" t="e">
        <f>AND(#REF!,"AAAAABnt/YY=")</f>
        <v>#REF!</v>
      </c>
      <c r="EF2" t="e">
        <f>AND(#REF!,"AAAAABnt/Yc=")</f>
        <v>#REF!</v>
      </c>
      <c r="EG2" t="e">
        <f>AND(#REF!,"AAAAABnt/Yg=")</f>
        <v>#REF!</v>
      </c>
      <c r="EH2" t="e">
        <f>AND(#REF!,"AAAAABnt/Yk=")</f>
        <v>#REF!</v>
      </c>
      <c r="EI2" t="e">
        <f>AND(#REF!,"AAAAABnt/Yo=")</f>
        <v>#REF!</v>
      </c>
      <c r="EJ2" t="e">
        <f>AND(#REF!,"AAAAABnt/Ys=")</f>
        <v>#REF!</v>
      </c>
      <c r="EK2" t="e">
        <f>AND(#REF!,"AAAAABnt/Yw=")</f>
        <v>#REF!</v>
      </c>
      <c r="EL2" t="e">
        <f>AND(#REF!,"AAAAABnt/Y0=")</f>
        <v>#REF!</v>
      </c>
      <c r="EM2" t="e">
        <f>AND(#REF!,"AAAAABnt/Y4=")</f>
        <v>#REF!</v>
      </c>
      <c r="EN2" t="e">
        <f>AND(#REF!,"AAAAABnt/Y8=")</f>
        <v>#REF!</v>
      </c>
      <c r="EO2" t="e">
        <f>AND(#REF!,"AAAAABnt/ZA=")</f>
        <v>#REF!</v>
      </c>
      <c r="EP2" t="e">
        <f>AND(#REF!,"AAAAABnt/ZE=")</f>
        <v>#REF!</v>
      </c>
      <c r="EQ2" t="e">
        <f>AND(#REF!,"AAAAABnt/ZI=")</f>
        <v>#REF!</v>
      </c>
      <c r="ER2" t="e">
        <f>AND(#REF!,"AAAAABnt/ZM=")</f>
        <v>#REF!</v>
      </c>
      <c r="ES2" t="e">
        <f>AND(#REF!,"AAAAABnt/ZQ=")</f>
        <v>#REF!</v>
      </c>
      <c r="ET2" t="e">
        <f>IF(#REF!,"AAAAABnt/ZU=",0)</f>
        <v>#REF!</v>
      </c>
      <c r="EU2" t="e">
        <f>AND(#REF!,"AAAAABnt/ZY=")</f>
        <v>#REF!</v>
      </c>
      <c r="EV2" t="e">
        <f>AND(#REF!,"AAAAABnt/Zc=")</f>
        <v>#REF!</v>
      </c>
      <c r="EW2" t="e">
        <f>AND(#REF!,"AAAAABnt/Zg=")</f>
        <v>#REF!</v>
      </c>
      <c r="EX2" t="e">
        <f>AND(#REF!,"AAAAABnt/Zk=")</f>
        <v>#REF!</v>
      </c>
      <c r="EY2" t="e">
        <f>AND(#REF!,"AAAAABnt/Zo=")</f>
        <v>#REF!</v>
      </c>
      <c r="EZ2" t="e">
        <f>AND(#REF!,"AAAAABnt/Zs=")</f>
        <v>#REF!</v>
      </c>
      <c r="FA2" t="e">
        <f>AND(#REF!,"AAAAABnt/Zw=")</f>
        <v>#REF!</v>
      </c>
      <c r="FB2" t="e">
        <f>AND(#REF!,"AAAAABnt/Z0=")</f>
        <v>#REF!</v>
      </c>
      <c r="FC2" t="e">
        <f>AND(#REF!,"AAAAABnt/Z4=")</f>
        <v>#REF!</v>
      </c>
      <c r="FD2" t="e">
        <f>AND(#REF!,"AAAAABnt/Z8=")</f>
        <v>#REF!</v>
      </c>
      <c r="FE2" t="e">
        <f>AND(#REF!,"AAAAABnt/aA=")</f>
        <v>#REF!</v>
      </c>
      <c r="FF2" t="e">
        <f>AND(#REF!,"AAAAABnt/aE=")</f>
        <v>#REF!</v>
      </c>
      <c r="FG2" t="e">
        <f>AND(#REF!,"AAAAABnt/aI=")</f>
        <v>#REF!</v>
      </c>
      <c r="FH2" t="e">
        <f>AND(#REF!,"AAAAABnt/aM=")</f>
        <v>#REF!</v>
      </c>
      <c r="FI2" t="e">
        <f>AND(#REF!,"AAAAABnt/aQ=")</f>
        <v>#REF!</v>
      </c>
      <c r="FJ2" t="e">
        <f>AND(#REF!,"AAAAABnt/aU=")</f>
        <v>#REF!</v>
      </c>
      <c r="FK2" t="e">
        <f>AND(#REF!,"AAAAABnt/aY=")</f>
        <v>#REF!</v>
      </c>
      <c r="FL2" t="e">
        <f>AND(#REF!,"AAAAABnt/ac=")</f>
        <v>#REF!</v>
      </c>
      <c r="FM2" t="e">
        <f>AND(#REF!,"AAAAABnt/ag=")</f>
        <v>#REF!</v>
      </c>
      <c r="FN2" t="e">
        <f>AND(#REF!,"AAAAABnt/ak=")</f>
        <v>#REF!</v>
      </c>
      <c r="FO2" t="e">
        <f>AND(#REF!,"AAAAABnt/ao=")</f>
        <v>#REF!</v>
      </c>
      <c r="FP2" t="e">
        <f>AND(#REF!,"AAAAABnt/as=")</f>
        <v>#REF!</v>
      </c>
      <c r="FQ2" t="e">
        <f>AND(#REF!,"AAAAABnt/aw=")</f>
        <v>#REF!</v>
      </c>
      <c r="FR2" t="e">
        <f>AND(#REF!,"AAAAABnt/a0=")</f>
        <v>#REF!</v>
      </c>
      <c r="FS2" t="e">
        <f>AND(#REF!,"AAAAABnt/a4=")</f>
        <v>#REF!</v>
      </c>
      <c r="FT2" t="e">
        <f>AND(#REF!,"AAAAABnt/a8=")</f>
        <v>#REF!</v>
      </c>
      <c r="FU2" t="e">
        <f>IF(#REF!,"AAAAABnt/bA=",0)</f>
        <v>#REF!</v>
      </c>
      <c r="FV2" t="e">
        <f>AND(#REF!,"AAAAABnt/bE=")</f>
        <v>#REF!</v>
      </c>
      <c r="FW2" t="e">
        <f>AND(#REF!,"AAAAABnt/bI=")</f>
        <v>#REF!</v>
      </c>
      <c r="FX2" t="e">
        <f>AND(#REF!,"AAAAABnt/bM=")</f>
        <v>#REF!</v>
      </c>
      <c r="FY2" t="e">
        <f>AND(#REF!,"AAAAABnt/bQ=")</f>
        <v>#REF!</v>
      </c>
      <c r="FZ2" t="e">
        <f>AND(#REF!,"AAAAABnt/bU=")</f>
        <v>#REF!</v>
      </c>
      <c r="GA2" t="e">
        <f>AND(#REF!,"AAAAABnt/bY=")</f>
        <v>#REF!</v>
      </c>
      <c r="GB2" t="e">
        <f>AND(#REF!,"AAAAABnt/bc=")</f>
        <v>#REF!</v>
      </c>
      <c r="GC2" t="e">
        <f>AND(#REF!,"AAAAABnt/bg=")</f>
        <v>#REF!</v>
      </c>
      <c r="GD2" t="e">
        <f>AND(#REF!,"AAAAABnt/bk=")</f>
        <v>#REF!</v>
      </c>
      <c r="GE2" t="e">
        <f>AND(#REF!,"AAAAABnt/bo=")</f>
        <v>#REF!</v>
      </c>
      <c r="GF2" t="e">
        <f>AND(#REF!,"AAAAABnt/bs=")</f>
        <v>#REF!</v>
      </c>
      <c r="GG2" t="e">
        <f>AND(#REF!,"AAAAABnt/bw=")</f>
        <v>#REF!</v>
      </c>
      <c r="GH2" t="e">
        <f>AND(#REF!,"AAAAABnt/b0=")</f>
        <v>#REF!</v>
      </c>
      <c r="GI2" t="e">
        <f>AND(#REF!,"AAAAABnt/b4=")</f>
        <v>#REF!</v>
      </c>
      <c r="GJ2" t="e">
        <f>AND(#REF!,"AAAAABnt/b8=")</f>
        <v>#REF!</v>
      </c>
      <c r="GK2" t="e">
        <f>AND(#REF!,"AAAAABnt/cA=")</f>
        <v>#REF!</v>
      </c>
      <c r="GL2" t="e">
        <f>AND(#REF!,"AAAAABnt/cE=")</f>
        <v>#REF!</v>
      </c>
      <c r="GM2" t="e">
        <f>AND(#REF!,"AAAAABnt/cI=")</f>
        <v>#REF!</v>
      </c>
      <c r="GN2" t="e">
        <f>AND(#REF!,"AAAAABnt/cM=")</f>
        <v>#REF!</v>
      </c>
      <c r="GO2" t="e">
        <f>AND(#REF!,"AAAAABnt/cQ=")</f>
        <v>#REF!</v>
      </c>
      <c r="GP2" t="e">
        <f>AND(#REF!,"AAAAABnt/cU=")</f>
        <v>#REF!</v>
      </c>
      <c r="GQ2" t="e">
        <f>AND(#REF!,"AAAAABnt/cY=")</f>
        <v>#REF!</v>
      </c>
      <c r="GR2" t="e">
        <f>AND(#REF!,"AAAAABnt/cc=")</f>
        <v>#REF!</v>
      </c>
      <c r="GS2" t="e">
        <f>AND(#REF!,"AAAAABnt/cg=")</f>
        <v>#REF!</v>
      </c>
      <c r="GT2" t="e">
        <f>AND(#REF!,"AAAAABnt/ck=")</f>
        <v>#REF!</v>
      </c>
      <c r="GU2" t="e">
        <f>AND(#REF!,"AAAAABnt/co=")</f>
        <v>#REF!</v>
      </c>
      <c r="GV2" t="e">
        <f>IF(#REF!,"AAAAABnt/cs=",0)</f>
        <v>#REF!</v>
      </c>
      <c r="GW2" t="e">
        <f>AND(#REF!,"AAAAABnt/cw=")</f>
        <v>#REF!</v>
      </c>
      <c r="GX2" t="e">
        <f>AND(#REF!,"AAAAABnt/c0=")</f>
        <v>#REF!</v>
      </c>
      <c r="GY2" t="e">
        <f>AND(#REF!,"AAAAABnt/c4=")</f>
        <v>#REF!</v>
      </c>
      <c r="GZ2" t="e">
        <f>AND(#REF!,"AAAAABnt/c8=")</f>
        <v>#REF!</v>
      </c>
      <c r="HA2" t="e">
        <f>AND(#REF!,"AAAAABnt/dA=")</f>
        <v>#REF!</v>
      </c>
      <c r="HB2" t="e">
        <f>AND(#REF!,"AAAAABnt/dE=")</f>
        <v>#REF!</v>
      </c>
      <c r="HC2" t="e">
        <f>AND(#REF!,"AAAAABnt/dI=")</f>
        <v>#REF!</v>
      </c>
      <c r="HD2" t="e">
        <f>AND(#REF!,"AAAAABnt/dM=")</f>
        <v>#REF!</v>
      </c>
      <c r="HE2" t="e">
        <f>AND(#REF!,"AAAAABnt/dQ=")</f>
        <v>#REF!</v>
      </c>
      <c r="HF2" t="e">
        <f>AND(#REF!,"AAAAABnt/dU=")</f>
        <v>#REF!</v>
      </c>
      <c r="HG2" t="e">
        <f>AND(#REF!,"AAAAABnt/dY=")</f>
        <v>#REF!</v>
      </c>
      <c r="HH2" t="e">
        <f>AND(#REF!,"AAAAABnt/dc=")</f>
        <v>#REF!</v>
      </c>
      <c r="HI2" t="e">
        <f>AND(#REF!,"AAAAABnt/dg=")</f>
        <v>#REF!</v>
      </c>
      <c r="HJ2" t="e">
        <f>AND(#REF!,"AAAAABnt/dk=")</f>
        <v>#REF!</v>
      </c>
      <c r="HK2" t="e">
        <f>AND(#REF!,"AAAAABnt/do=")</f>
        <v>#REF!</v>
      </c>
      <c r="HL2" t="e">
        <f>AND(#REF!,"AAAAABnt/ds=")</f>
        <v>#REF!</v>
      </c>
      <c r="HM2" t="e">
        <f>AND(#REF!,"AAAAABnt/dw=")</f>
        <v>#REF!</v>
      </c>
      <c r="HN2" t="e">
        <f>AND(#REF!,"AAAAABnt/d0=")</f>
        <v>#REF!</v>
      </c>
      <c r="HO2" t="e">
        <f>AND(#REF!,"AAAAABnt/d4=")</f>
        <v>#REF!</v>
      </c>
      <c r="HP2" t="e">
        <f>AND(#REF!,"AAAAABnt/d8=")</f>
        <v>#REF!</v>
      </c>
      <c r="HQ2" t="e">
        <f>AND(#REF!,"AAAAABnt/eA=")</f>
        <v>#REF!</v>
      </c>
      <c r="HR2" t="e">
        <f>AND(#REF!,"AAAAABnt/eE=")</f>
        <v>#REF!</v>
      </c>
      <c r="HS2" t="e">
        <f>AND(#REF!,"AAAAABnt/eI=")</f>
        <v>#REF!</v>
      </c>
      <c r="HT2" t="e">
        <f>AND(#REF!,"AAAAABnt/eM=")</f>
        <v>#REF!</v>
      </c>
      <c r="HU2" t="e">
        <f>AND(#REF!,"AAAAABnt/eQ=")</f>
        <v>#REF!</v>
      </c>
      <c r="HV2" t="e">
        <f>AND(#REF!,"AAAAABnt/eU=")</f>
        <v>#REF!</v>
      </c>
      <c r="HW2" t="e">
        <f>IF(#REF!,"AAAAABnt/eY=",0)</f>
        <v>#REF!</v>
      </c>
      <c r="HX2" t="e">
        <f>AND(#REF!,"AAAAABnt/ec=")</f>
        <v>#REF!</v>
      </c>
      <c r="HY2" t="e">
        <f>AND(#REF!,"AAAAABnt/eg=")</f>
        <v>#REF!</v>
      </c>
      <c r="HZ2" t="e">
        <f>AND(#REF!,"AAAAABnt/ek=")</f>
        <v>#REF!</v>
      </c>
      <c r="IA2" t="e">
        <f>AND(#REF!,"AAAAABnt/eo=")</f>
        <v>#REF!</v>
      </c>
      <c r="IB2" t="e">
        <f>AND(#REF!,"AAAAABnt/es=")</f>
        <v>#REF!</v>
      </c>
      <c r="IC2" t="e">
        <f>AND(#REF!,"AAAAABnt/ew=")</f>
        <v>#REF!</v>
      </c>
      <c r="ID2" t="e">
        <f>AND(#REF!,"AAAAABnt/e0=")</f>
        <v>#REF!</v>
      </c>
      <c r="IE2" t="e">
        <f>AND(#REF!,"AAAAABnt/e4=")</f>
        <v>#REF!</v>
      </c>
      <c r="IF2" t="e">
        <f>AND(#REF!,"AAAAABnt/e8=")</f>
        <v>#REF!</v>
      </c>
      <c r="IG2" t="e">
        <f>AND(#REF!,"AAAAABnt/fA=")</f>
        <v>#REF!</v>
      </c>
      <c r="IH2" t="e">
        <f>AND(#REF!,"AAAAABnt/fE=")</f>
        <v>#REF!</v>
      </c>
      <c r="II2" t="e">
        <f>AND(#REF!,"AAAAABnt/fI=")</f>
        <v>#REF!</v>
      </c>
      <c r="IJ2" t="e">
        <f>AND(#REF!,"AAAAABnt/fM=")</f>
        <v>#REF!</v>
      </c>
      <c r="IK2" t="e">
        <f>AND(#REF!,"AAAAABnt/fQ=")</f>
        <v>#REF!</v>
      </c>
      <c r="IL2" t="e">
        <f>AND(#REF!,"AAAAABnt/fU=")</f>
        <v>#REF!</v>
      </c>
      <c r="IM2" t="e">
        <f>AND(#REF!,"AAAAABnt/fY=")</f>
        <v>#REF!</v>
      </c>
      <c r="IN2" t="e">
        <f>AND(#REF!,"AAAAABnt/fc=")</f>
        <v>#REF!</v>
      </c>
      <c r="IO2" t="e">
        <f>AND(#REF!,"AAAAABnt/fg=")</f>
        <v>#REF!</v>
      </c>
      <c r="IP2" t="e">
        <f>AND(#REF!,"AAAAABnt/fk=")</f>
        <v>#REF!</v>
      </c>
      <c r="IQ2" t="e">
        <f>AND(#REF!,"AAAAABnt/fo=")</f>
        <v>#REF!</v>
      </c>
      <c r="IR2" t="e">
        <f>AND(#REF!,"AAAAABnt/fs=")</f>
        <v>#REF!</v>
      </c>
      <c r="IS2" t="e">
        <f>AND(#REF!,"AAAAABnt/fw=")</f>
        <v>#REF!</v>
      </c>
      <c r="IT2" t="e">
        <f>AND(#REF!,"AAAAABnt/f0=")</f>
        <v>#REF!</v>
      </c>
      <c r="IU2" t="e">
        <f>AND(#REF!,"AAAAABnt/f4=")</f>
        <v>#REF!</v>
      </c>
      <c r="IV2" t="e">
        <f>AND(#REF!,"AAAAABnt/f8=")</f>
        <v>#REF!</v>
      </c>
    </row>
    <row r="3" spans="1:256" x14ac:dyDescent="0.2">
      <c r="A3" t="e">
        <f>AND(#REF!,"AAAAAHf78wA=")</f>
        <v>#REF!</v>
      </c>
      <c r="B3" t="e">
        <f>IF(#REF!,"AAAAAHf78wE=",0)</f>
        <v>#REF!</v>
      </c>
      <c r="C3" t="e">
        <f>AND(#REF!,"AAAAAHf78wI=")</f>
        <v>#REF!</v>
      </c>
      <c r="D3" t="e">
        <f>AND(#REF!,"AAAAAHf78wM=")</f>
        <v>#REF!</v>
      </c>
      <c r="E3" t="e">
        <f>AND(#REF!,"AAAAAHf78wQ=")</f>
        <v>#REF!</v>
      </c>
      <c r="F3" t="e">
        <f>AND(#REF!,"AAAAAHf78wU=")</f>
        <v>#REF!</v>
      </c>
      <c r="G3" t="e">
        <f>AND(#REF!,"AAAAAHf78wY=")</f>
        <v>#REF!</v>
      </c>
      <c r="H3" t="e">
        <f>AND(#REF!,"AAAAAHf78wc=")</f>
        <v>#REF!</v>
      </c>
      <c r="I3" t="e">
        <f>AND(#REF!,"AAAAAHf78wg=")</f>
        <v>#REF!</v>
      </c>
      <c r="J3" t="e">
        <f>AND(#REF!,"AAAAAHf78wk=")</f>
        <v>#REF!</v>
      </c>
      <c r="K3" t="e">
        <f>AND(#REF!,"AAAAAHf78wo=")</f>
        <v>#REF!</v>
      </c>
      <c r="L3" t="e">
        <f>AND(#REF!,"AAAAAHf78ws=")</f>
        <v>#REF!</v>
      </c>
      <c r="M3" t="e">
        <f>AND(#REF!,"AAAAAHf78ww=")</f>
        <v>#REF!</v>
      </c>
      <c r="N3" t="e">
        <f>AND(#REF!,"AAAAAHf78w0=")</f>
        <v>#REF!</v>
      </c>
      <c r="O3" t="e">
        <f>AND(#REF!,"AAAAAHf78w4=")</f>
        <v>#REF!</v>
      </c>
      <c r="P3" t="e">
        <f>AND(#REF!,"AAAAAHf78w8=")</f>
        <v>#REF!</v>
      </c>
      <c r="Q3" t="e">
        <f>AND(#REF!,"AAAAAHf78xA=")</f>
        <v>#REF!</v>
      </c>
      <c r="R3" t="e">
        <f>AND(#REF!,"AAAAAHf78xE=")</f>
        <v>#REF!</v>
      </c>
      <c r="S3" t="e">
        <f>AND(#REF!,"AAAAAHf78xI=")</f>
        <v>#REF!</v>
      </c>
      <c r="T3" t="e">
        <f>AND(#REF!,"AAAAAHf78xM=")</f>
        <v>#REF!</v>
      </c>
      <c r="U3" t="e">
        <f>AND(#REF!,"AAAAAHf78xQ=")</f>
        <v>#REF!</v>
      </c>
      <c r="V3" t="e">
        <f>AND(#REF!,"AAAAAHf78xU=")</f>
        <v>#REF!</v>
      </c>
      <c r="W3" t="e">
        <f>AND(#REF!,"AAAAAHf78xY=")</f>
        <v>#REF!</v>
      </c>
      <c r="X3" t="e">
        <f>AND(#REF!,"AAAAAHf78xc=")</f>
        <v>#REF!</v>
      </c>
      <c r="Y3" t="e">
        <f>AND(#REF!,"AAAAAHf78xg=")</f>
        <v>#REF!</v>
      </c>
      <c r="Z3" t="e">
        <f>AND(#REF!,"AAAAAHf78xk=")</f>
        <v>#REF!</v>
      </c>
      <c r="AA3" t="e">
        <f>AND(#REF!,"AAAAAHf78xo=")</f>
        <v>#REF!</v>
      </c>
      <c r="AB3" t="e">
        <f>AND(#REF!,"AAAAAHf78xs=")</f>
        <v>#REF!</v>
      </c>
      <c r="AC3" t="e">
        <f>IF(#REF!,"AAAAAHf78xw=",0)</f>
        <v>#REF!</v>
      </c>
      <c r="AD3" t="e">
        <f>AND(#REF!,"AAAAAHf78x0=")</f>
        <v>#REF!</v>
      </c>
      <c r="AE3" t="e">
        <f>AND(#REF!,"AAAAAHf78x4=")</f>
        <v>#REF!</v>
      </c>
      <c r="AF3" t="e">
        <f>AND(#REF!,"AAAAAHf78x8=")</f>
        <v>#REF!</v>
      </c>
      <c r="AG3" t="e">
        <f>AND(#REF!,"AAAAAHf78yA=")</f>
        <v>#REF!</v>
      </c>
      <c r="AH3" t="e">
        <f>AND(#REF!,"AAAAAHf78yE=")</f>
        <v>#REF!</v>
      </c>
      <c r="AI3" t="e">
        <f>AND(#REF!,"AAAAAHf78yI=")</f>
        <v>#REF!</v>
      </c>
      <c r="AJ3" t="e">
        <f>AND(#REF!,"AAAAAHf78yM=")</f>
        <v>#REF!</v>
      </c>
      <c r="AK3" t="e">
        <f>AND(#REF!,"AAAAAHf78yQ=")</f>
        <v>#REF!</v>
      </c>
      <c r="AL3" t="e">
        <f>AND(#REF!,"AAAAAHf78yU=")</f>
        <v>#REF!</v>
      </c>
      <c r="AM3" t="e">
        <f>AND(#REF!,"AAAAAHf78yY=")</f>
        <v>#REF!</v>
      </c>
      <c r="AN3" t="e">
        <f>AND(#REF!,"AAAAAHf78yc=")</f>
        <v>#REF!</v>
      </c>
      <c r="AO3" t="e">
        <f>AND(#REF!,"AAAAAHf78yg=")</f>
        <v>#REF!</v>
      </c>
      <c r="AP3" t="e">
        <f>AND(#REF!,"AAAAAHf78yk=")</f>
        <v>#REF!</v>
      </c>
      <c r="AQ3" t="e">
        <f>AND(#REF!,"AAAAAHf78yo=")</f>
        <v>#REF!</v>
      </c>
      <c r="AR3" t="e">
        <f>AND(#REF!,"AAAAAHf78ys=")</f>
        <v>#REF!</v>
      </c>
      <c r="AS3" t="e">
        <f>AND(#REF!,"AAAAAHf78yw=")</f>
        <v>#REF!</v>
      </c>
      <c r="AT3" t="e">
        <f>AND(#REF!,"AAAAAHf78y0=")</f>
        <v>#REF!</v>
      </c>
      <c r="AU3" t="e">
        <f>AND(#REF!,"AAAAAHf78y4=")</f>
        <v>#REF!</v>
      </c>
      <c r="AV3" t="e">
        <f>AND(#REF!,"AAAAAHf78y8=")</f>
        <v>#REF!</v>
      </c>
      <c r="AW3" t="e">
        <f>AND(#REF!,"AAAAAHf78zA=")</f>
        <v>#REF!</v>
      </c>
      <c r="AX3" t="e">
        <f>AND(#REF!,"AAAAAHf78zE=")</f>
        <v>#REF!</v>
      </c>
      <c r="AY3" t="e">
        <f>AND(#REF!,"AAAAAHf78zI=")</f>
        <v>#REF!</v>
      </c>
      <c r="AZ3" t="e">
        <f>AND(#REF!,"AAAAAHf78zM=")</f>
        <v>#REF!</v>
      </c>
      <c r="BA3" t="e">
        <f>AND(#REF!,"AAAAAHf78zQ=")</f>
        <v>#REF!</v>
      </c>
      <c r="BB3" t="e">
        <f>AND(#REF!,"AAAAAHf78zU=")</f>
        <v>#REF!</v>
      </c>
      <c r="BC3" t="e">
        <f>AND(#REF!,"AAAAAHf78zY=")</f>
        <v>#REF!</v>
      </c>
      <c r="BD3" t="e">
        <f>IF(#REF!,"AAAAAHf78zc=",0)</f>
        <v>#REF!</v>
      </c>
      <c r="BE3" t="e">
        <f>AND(#REF!,"AAAAAHf78zg=")</f>
        <v>#REF!</v>
      </c>
      <c r="BF3" t="e">
        <f>AND(#REF!,"AAAAAHf78zk=")</f>
        <v>#REF!</v>
      </c>
      <c r="BG3" t="e">
        <f>AND(#REF!,"AAAAAHf78zo=")</f>
        <v>#REF!</v>
      </c>
      <c r="BH3" t="e">
        <f>AND(#REF!,"AAAAAHf78zs=")</f>
        <v>#REF!</v>
      </c>
      <c r="BI3" t="e">
        <f>AND(#REF!,"AAAAAHf78zw=")</f>
        <v>#REF!</v>
      </c>
      <c r="BJ3" t="e">
        <f>AND(#REF!,"AAAAAHf78z0=")</f>
        <v>#REF!</v>
      </c>
      <c r="BK3" t="e">
        <f>AND(#REF!,"AAAAAHf78z4=")</f>
        <v>#REF!</v>
      </c>
      <c r="BL3" t="e">
        <f>AND(#REF!,"AAAAAHf78z8=")</f>
        <v>#REF!</v>
      </c>
      <c r="BM3" t="e">
        <f>AND(#REF!,"AAAAAHf780A=")</f>
        <v>#REF!</v>
      </c>
      <c r="BN3" t="e">
        <f>AND(#REF!,"AAAAAHf780E=")</f>
        <v>#REF!</v>
      </c>
      <c r="BO3" t="e">
        <f>AND(#REF!,"AAAAAHf780I=")</f>
        <v>#REF!</v>
      </c>
      <c r="BP3" t="e">
        <f>AND(#REF!,"AAAAAHf780M=")</f>
        <v>#REF!</v>
      </c>
      <c r="BQ3" t="e">
        <f>AND(#REF!,"AAAAAHf780Q=")</f>
        <v>#REF!</v>
      </c>
      <c r="BR3" t="e">
        <f>AND(#REF!,"AAAAAHf780U=")</f>
        <v>#REF!</v>
      </c>
      <c r="BS3" t="e">
        <f>AND(#REF!,"AAAAAHf780Y=")</f>
        <v>#REF!</v>
      </c>
      <c r="BT3" t="e">
        <f>AND(#REF!,"AAAAAHf780c=")</f>
        <v>#REF!</v>
      </c>
      <c r="BU3" t="e">
        <f>AND(#REF!,"AAAAAHf780g=")</f>
        <v>#REF!</v>
      </c>
      <c r="BV3" t="e">
        <f>AND(#REF!,"AAAAAHf780k=")</f>
        <v>#REF!</v>
      </c>
      <c r="BW3" t="e">
        <f>AND(#REF!,"AAAAAHf780o=")</f>
        <v>#REF!</v>
      </c>
      <c r="BX3" t="e">
        <f>AND(#REF!,"AAAAAHf780s=")</f>
        <v>#REF!</v>
      </c>
      <c r="BY3" t="e">
        <f>AND(#REF!,"AAAAAHf780w=")</f>
        <v>#REF!</v>
      </c>
      <c r="BZ3" t="e">
        <f>AND(#REF!,"AAAAAHf7800=")</f>
        <v>#REF!</v>
      </c>
      <c r="CA3" t="e">
        <f>AND(#REF!,"AAAAAHf7804=")</f>
        <v>#REF!</v>
      </c>
      <c r="CB3" t="e">
        <f>AND(#REF!,"AAAAAHf7808=")</f>
        <v>#REF!</v>
      </c>
      <c r="CC3" t="e">
        <f>AND(#REF!,"AAAAAHf781A=")</f>
        <v>#REF!</v>
      </c>
      <c r="CD3" t="e">
        <f>AND(#REF!,"AAAAAHf781E=")</f>
        <v>#REF!</v>
      </c>
      <c r="CE3" t="e">
        <f>IF(#REF!,"AAAAAHf781I=",0)</f>
        <v>#REF!</v>
      </c>
      <c r="CF3" t="e">
        <f>AND(#REF!,"AAAAAHf781M=")</f>
        <v>#REF!</v>
      </c>
      <c r="CG3" t="e">
        <f>AND(#REF!,"AAAAAHf781Q=")</f>
        <v>#REF!</v>
      </c>
      <c r="CH3" t="e">
        <f>AND(#REF!,"AAAAAHf781U=")</f>
        <v>#REF!</v>
      </c>
      <c r="CI3" t="e">
        <f>AND(#REF!,"AAAAAHf781Y=")</f>
        <v>#REF!</v>
      </c>
      <c r="CJ3" t="e">
        <f>AND(#REF!,"AAAAAHf781c=")</f>
        <v>#REF!</v>
      </c>
      <c r="CK3" t="e">
        <f>AND(#REF!,"AAAAAHf781g=")</f>
        <v>#REF!</v>
      </c>
      <c r="CL3" t="e">
        <f>AND(#REF!,"AAAAAHf781k=")</f>
        <v>#REF!</v>
      </c>
      <c r="CM3" t="e">
        <f>AND(#REF!,"AAAAAHf781o=")</f>
        <v>#REF!</v>
      </c>
      <c r="CN3" t="e">
        <f>AND(#REF!,"AAAAAHf781s=")</f>
        <v>#REF!</v>
      </c>
      <c r="CO3" t="e">
        <f>AND(#REF!,"AAAAAHf781w=")</f>
        <v>#REF!</v>
      </c>
      <c r="CP3" t="e">
        <f>AND(#REF!,"AAAAAHf7810=")</f>
        <v>#REF!</v>
      </c>
      <c r="CQ3" t="e">
        <f>AND(#REF!,"AAAAAHf7814=")</f>
        <v>#REF!</v>
      </c>
      <c r="CR3" t="e">
        <f>AND(#REF!,"AAAAAHf7818=")</f>
        <v>#REF!</v>
      </c>
      <c r="CS3" t="e">
        <f>AND(#REF!,"AAAAAHf782A=")</f>
        <v>#REF!</v>
      </c>
      <c r="CT3" t="e">
        <f>AND(#REF!,"AAAAAHf782E=")</f>
        <v>#REF!</v>
      </c>
      <c r="CU3" t="e">
        <f>AND(#REF!,"AAAAAHf782I=")</f>
        <v>#REF!</v>
      </c>
      <c r="CV3" t="e">
        <f>AND(#REF!,"AAAAAHf782M=")</f>
        <v>#REF!</v>
      </c>
      <c r="CW3" t="e">
        <f>AND(#REF!,"AAAAAHf782Q=")</f>
        <v>#REF!</v>
      </c>
      <c r="CX3" t="e">
        <f>AND(#REF!,"AAAAAHf782U=")</f>
        <v>#REF!</v>
      </c>
      <c r="CY3" t="e">
        <f>AND(#REF!,"AAAAAHf782Y=")</f>
        <v>#REF!</v>
      </c>
      <c r="CZ3" t="e">
        <f>AND(#REF!,"AAAAAHf782c=")</f>
        <v>#REF!</v>
      </c>
      <c r="DA3" t="e">
        <f>AND(#REF!,"AAAAAHf782g=")</f>
        <v>#REF!</v>
      </c>
      <c r="DB3" t="e">
        <f>AND(#REF!,"AAAAAHf782k=")</f>
        <v>#REF!</v>
      </c>
      <c r="DC3" t="e">
        <f>AND(#REF!,"AAAAAHf782o=")</f>
        <v>#REF!</v>
      </c>
      <c r="DD3" t="e">
        <f>AND(#REF!,"AAAAAHf782s=")</f>
        <v>#REF!</v>
      </c>
      <c r="DE3" t="e">
        <f>AND(#REF!,"AAAAAHf782w=")</f>
        <v>#REF!</v>
      </c>
      <c r="DF3" t="e">
        <f>IF(#REF!,"AAAAAHf7820=",0)</f>
        <v>#REF!</v>
      </c>
      <c r="DG3" t="e">
        <f>AND(#REF!,"AAAAAHf7824=")</f>
        <v>#REF!</v>
      </c>
      <c r="DH3" t="e">
        <f>AND(#REF!,"AAAAAHf7828=")</f>
        <v>#REF!</v>
      </c>
      <c r="DI3" t="e">
        <f>AND(#REF!,"AAAAAHf783A=")</f>
        <v>#REF!</v>
      </c>
      <c r="DJ3" t="e">
        <f>AND(#REF!,"AAAAAHf783E=")</f>
        <v>#REF!</v>
      </c>
      <c r="DK3" t="e">
        <f>AND(#REF!,"AAAAAHf783I=")</f>
        <v>#REF!</v>
      </c>
      <c r="DL3" t="e">
        <f>AND(#REF!,"AAAAAHf783M=")</f>
        <v>#REF!</v>
      </c>
      <c r="DM3" t="e">
        <f>AND(#REF!,"AAAAAHf783Q=")</f>
        <v>#REF!</v>
      </c>
      <c r="DN3" t="e">
        <f>AND(#REF!,"AAAAAHf783U=")</f>
        <v>#REF!</v>
      </c>
      <c r="DO3" t="e">
        <f>AND(#REF!,"AAAAAHf783Y=")</f>
        <v>#REF!</v>
      </c>
      <c r="DP3" t="e">
        <f>AND(#REF!,"AAAAAHf783c=")</f>
        <v>#REF!</v>
      </c>
      <c r="DQ3" t="e">
        <f>AND(#REF!,"AAAAAHf783g=")</f>
        <v>#REF!</v>
      </c>
      <c r="DR3" t="e">
        <f>AND(#REF!,"AAAAAHf783k=")</f>
        <v>#REF!</v>
      </c>
      <c r="DS3" t="e">
        <f>AND(#REF!,"AAAAAHf783o=")</f>
        <v>#REF!</v>
      </c>
      <c r="DT3" t="e">
        <f>AND(#REF!,"AAAAAHf783s=")</f>
        <v>#REF!</v>
      </c>
      <c r="DU3" t="e">
        <f>AND(#REF!,"AAAAAHf783w=")</f>
        <v>#REF!</v>
      </c>
      <c r="DV3" t="e">
        <f>AND(#REF!,"AAAAAHf7830=")</f>
        <v>#REF!</v>
      </c>
      <c r="DW3" t="e">
        <f>AND(#REF!,"AAAAAHf7834=")</f>
        <v>#REF!</v>
      </c>
      <c r="DX3" t="e">
        <f>AND(#REF!,"AAAAAHf7838=")</f>
        <v>#REF!</v>
      </c>
      <c r="DY3" t="e">
        <f>AND(#REF!,"AAAAAHf784A=")</f>
        <v>#REF!</v>
      </c>
      <c r="DZ3" t="e">
        <f>AND(#REF!,"AAAAAHf784E=")</f>
        <v>#REF!</v>
      </c>
      <c r="EA3" t="e">
        <f>AND(#REF!,"AAAAAHf784I=")</f>
        <v>#REF!</v>
      </c>
      <c r="EB3" t="e">
        <f>AND(#REF!,"AAAAAHf784M=")</f>
        <v>#REF!</v>
      </c>
      <c r="EC3" t="e">
        <f>AND(#REF!,"AAAAAHf784Q=")</f>
        <v>#REF!</v>
      </c>
      <c r="ED3" t="e">
        <f>AND(#REF!,"AAAAAHf784U=")</f>
        <v>#REF!</v>
      </c>
      <c r="EE3" t="e">
        <f>AND(#REF!,"AAAAAHf784Y=")</f>
        <v>#REF!</v>
      </c>
      <c r="EF3" t="e">
        <f>AND(#REF!,"AAAAAHf784c=")</f>
        <v>#REF!</v>
      </c>
      <c r="EG3" t="e">
        <f>IF(#REF!,"AAAAAHf784g=",0)</f>
        <v>#REF!</v>
      </c>
      <c r="EH3" t="e">
        <f>AND(#REF!,"AAAAAHf784k=")</f>
        <v>#REF!</v>
      </c>
      <c r="EI3" t="e">
        <f>AND(#REF!,"AAAAAHf784o=")</f>
        <v>#REF!</v>
      </c>
      <c r="EJ3" t="e">
        <f>AND(#REF!,"AAAAAHf784s=")</f>
        <v>#REF!</v>
      </c>
      <c r="EK3" t="e">
        <f>AND(#REF!,"AAAAAHf784w=")</f>
        <v>#REF!</v>
      </c>
      <c r="EL3" t="e">
        <f>AND(#REF!,"AAAAAHf7840=")</f>
        <v>#REF!</v>
      </c>
      <c r="EM3" t="e">
        <f>AND(#REF!,"AAAAAHf7844=")</f>
        <v>#REF!</v>
      </c>
      <c r="EN3" t="e">
        <f>AND(#REF!,"AAAAAHf7848=")</f>
        <v>#REF!</v>
      </c>
      <c r="EO3" t="e">
        <f>AND(#REF!,"AAAAAHf785A=")</f>
        <v>#REF!</v>
      </c>
      <c r="EP3" t="e">
        <f>AND(#REF!,"AAAAAHf785E=")</f>
        <v>#REF!</v>
      </c>
      <c r="EQ3" t="e">
        <f>AND(#REF!,"AAAAAHf785I=")</f>
        <v>#REF!</v>
      </c>
      <c r="ER3" t="e">
        <f>AND(#REF!,"AAAAAHf785M=")</f>
        <v>#REF!</v>
      </c>
      <c r="ES3" t="e">
        <f>AND(#REF!,"AAAAAHf785Q=")</f>
        <v>#REF!</v>
      </c>
      <c r="ET3" t="e">
        <f>AND(#REF!,"AAAAAHf785U=")</f>
        <v>#REF!</v>
      </c>
      <c r="EU3" t="e">
        <f>AND(#REF!,"AAAAAHf785Y=")</f>
        <v>#REF!</v>
      </c>
      <c r="EV3" t="e">
        <f>AND(#REF!,"AAAAAHf785c=")</f>
        <v>#REF!</v>
      </c>
      <c r="EW3" t="e">
        <f>AND(#REF!,"AAAAAHf785g=")</f>
        <v>#REF!</v>
      </c>
      <c r="EX3" t="e">
        <f>AND(#REF!,"AAAAAHf785k=")</f>
        <v>#REF!</v>
      </c>
      <c r="EY3" t="e">
        <f>AND(#REF!,"AAAAAHf785o=")</f>
        <v>#REF!</v>
      </c>
      <c r="EZ3" t="e">
        <f>AND(#REF!,"AAAAAHf785s=")</f>
        <v>#REF!</v>
      </c>
      <c r="FA3" t="e">
        <f>AND(#REF!,"AAAAAHf785w=")</f>
        <v>#REF!</v>
      </c>
      <c r="FB3" t="e">
        <f>AND(#REF!,"AAAAAHf7850=")</f>
        <v>#REF!</v>
      </c>
      <c r="FC3" t="e">
        <f>AND(#REF!,"AAAAAHf7854=")</f>
        <v>#REF!</v>
      </c>
      <c r="FD3" t="e">
        <f>AND(#REF!,"AAAAAHf7858=")</f>
        <v>#REF!</v>
      </c>
      <c r="FE3" t="e">
        <f>AND(#REF!,"AAAAAHf786A=")</f>
        <v>#REF!</v>
      </c>
      <c r="FF3" t="e">
        <f>AND(#REF!,"AAAAAHf786E=")</f>
        <v>#REF!</v>
      </c>
      <c r="FG3" t="e">
        <f>AND(#REF!,"AAAAAHf786I=")</f>
        <v>#REF!</v>
      </c>
      <c r="FH3" t="e">
        <f>IF(#REF!,"AAAAAHf786M=",0)</f>
        <v>#REF!</v>
      </c>
      <c r="FI3" t="e">
        <f>AND(#REF!,"AAAAAHf786Q=")</f>
        <v>#REF!</v>
      </c>
      <c r="FJ3" t="e">
        <f>AND(#REF!,"AAAAAHf786U=")</f>
        <v>#REF!</v>
      </c>
      <c r="FK3" t="e">
        <f>AND(#REF!,"AAAAAHf786Y=")</f>
        <v>#REF!</v>
      </c>
      <c r="FL3" t="e">
        <f>AND(#REF!,"AAAAAHf786c=")</f>
        <v>#REF!</v>
      </c>
      <c r="FM3" t="e">
        <f>AND(#REF!,"AAAAAHf786g=")</f>
        <v>#REF!</v>
      </c>
      <c r="FN3" t="e">
        <f>AND(#REF!,"AAAAAHf786k=")</f>
        <v>#REF!</v>
      </c>
      <c r="FO3" t="e">
        <f>AND(#REF!,"AAAAAHf786o=")</f>
        <v>#REF!</v>
      </c>
      <c r="FP3" t="e">
        <f>AND(#REF!,"AAAAAHf786s=")</f>
        <v>#REF!</v>
      </c>
      <c r="FQ3" t="e">
        <f>AND(#REF!,"AAAAAHf786w=")</f>
        <v>#REF!</v>
      </c>
      <c r="FR3" t="e">
        <f>AND(#REF!,"AAAAAHf7860=")</f>
        <v>#REF!</v>
      </c>
      <c r="FS3" t="e">
        <f>AND(#REF!,"AAAAAHf7864=")</f>
        <v>#REF!</v>
      </c>
      <c r="FT3" t="e">
        <f>AND(#REF!,"AAAAAHf7868=")</f>
        <v>#REF!</v>
      </c>
      <c r="FU3" t="e">
        <f>AND(#REF!,"AAAAAHf787A=")</f>
        <v>#REF!</v>
      </c>
      <c r="FV3" t="e">
        <f>AND(#REF!,"AAAAAHf787E=")</f>
        <v>#REF!</v>
      </c>
      <c r="FW3" t="e">
        <f>AND(#REF!,"AAAAAHf787I=")</f>
        <v>#REF!</v>
      </c>
      <c r="FX3" t="e">
        <f>AND(#REF!,"AAAAAHf787M=")</f>
        <v>#REF!</v>
      </c>
      <c r="FY3" t="e">
        <f>AND(#REF!,"AAAAAHf787Q=")</f>
        <v>#REF!</v>
      </c>
      <c r="FZ3" t="e">
        <f>AND(#REF!,"AAAAAHf787U=")</f>
        <v>#REF!</v>
      </c>
      <c r="GA3" t="e">
        <f>AND(#REF!,"AAAAAHf787Y=")</f>
        <v>#REF!</v>
      </c>
      <c r="GB3" t="e">
        <f>AND(#REF!,"AAAAAHf787c=")</f>
        <v>#REF!</v>
      </c>
      <c r="GC3" t="e">
        <f>AND(#REF!,"AAAAAHf787g=")</f>
        <v>#REF!</v>
      </c>
      <c r="GD3" t="e">
        <f>AND(#REF!,"AAAAAHf787k=")</f>
        <v>#REF!</v>
      </c>
      <c r="GE3" t="e">
        <f>AND(#REF!,"AAAAAHf787o=")</f>
        <v>#REF!</v>
      </c>
      <c r="GF3" t="e">
        <f>AND(#REF!,"AAAAAHf787s=")</f>
        <v>#REF!</v>
      </c>
      <c r="GG3" t="e">
        <f>AND(#REF!,"AAAAAHf787w=")</f>
        <v>#REF!</v>
      </c>
      <c r="GH3" t="e">
        <f>AND(#REF!,"AAAAAHf7870=")</f>
        <v>#REF!</v>
      </c>
      <c r="GI3" t="e">
        <f>IF(#REF!,"AAAAAHf7874=",0)</f>
        <v>#REF!</v>
      </c>
      <c r="GJ3" t="e">
        <f>AND(#REF!,"AAAAAHf7878=")</f>
        <v>#REF!</v>
      </c>
      <c r="GK3" t="e">
        <f>AND(#REF!,"AAAAAHf788A=")</f>
        <v>#REF!</v>
      </c>
      <c r="GL3" t="e">
        <f>AND(#REF!,"AAAAAHf788E=")</f>
        <v>#REF!</v>
      </c>
      <c r="GM3" t="e">
        <f>AND(#REF!,"AAAAAHf788I=")</f>
        <v>#REF!</v>
      </c>
      <c r="GN3" t="e">
        <f>AND(#REF!,"AAAAAHf788M=")</f>
        <v>#REF!</v>
      </c>
      <c r="GO3" t="e">
        <f>AND(#REF!,"AAAAAHf788Q=")</f>
        <v>#REF!</v>
      </c>
      <c r="GP3" t="e">
        <f>AND(#REF!,"AAAAAHf788U=")</f>
        <v>#REF!</v>
      </c>
      <c r="GQ3" t="e">
        <f>AND(#REF!,"AAAAAHf788Y=")</f>
        <v>#REF!</v>
      </c>
      <c r="GR3" t="e">
        <f>AND(#REF!,"AAAAAHf788c=")</f>
        <v>#REF!</v>
      </c>
      <c r="GS3" t="e">
        <f>AND(#REF!,"AAAAAHf788g=")</f>
        <v>#REF!</v>
      </c>
      <c r="GT3" t="e">
        <f>AND(#REF!,"AAAAAHf788k=")</f>
        <v>#REF!</v>
      </c>
      <c r="GU3" t="e">
        <f>AND(#REF!,"AAAAAHf788o=")</f>
        <v>#REF!</v>
      </c>
      <c r="GV3" t="e">
        <f>AND(#REF!,"AAAAAHf788s=")</f>
        <v>#REF!</v>
      </c>
      <c r="GW3" t="e">
        <f>AND(#REF!,"AAAAAHf788w=")</f>
        <v>#REF!</v>
      </c>
      <c r="GX3" t="e">
        <f>AND(#REF!,"AAAAAHf7880=")</f>
        <v>#REF!</v>
      </c>
      <c r="GY3" t="e">
        <f>AND(#REF!,"AAAAAHf7884=")</f>
        <v>#REF!</v>
      </c>
      <c r="GZ3" t="e">
        <f>AND(#REF!,"AAAAAHf7888=")</f>
        <v>#REF!</v>
      </c>
      <c r="HA3" t="e">
        <f>AND(#REF!,"AAAAAHf789A=")</f>
        <v>#REF!</v>
      </c>
      <c r="HB3" t="e">
        <f>AND(#REF!,"AAAAAHf789E=")</f>
        <v>#REF!</v>
      </c>
      <c r="HC3" t="e">
        <f>AND(#REF!,"AAAAAHf789I=")</f>
        <v>#REF!</v>
      </c>
      <c r="HD3" t="e">
        <f>AND(#REF!,"AAAAAHf789M=")</f>
        <v>#REF!</v>
      </c>
      <c r="HE3" t="e">
        <f>AND(#REF!,"AAAAAHf789Q=")</f>
        <v>#REF!</v>
      </c>
      <c r="HF3" t="e">
        <f>AND(#REF!,"AAAAAHf789U=")</f>
        <v>#REF!</v>
      </c>
      <c r="HG3" t="e">
        <f>AND(#REF!,"AAAAAHf789Y=")</f>
        <v>#REF!</v>
      </c>
      <c r="HH3" t="e">
        <f>AND(#REF!,"AAAAAHf789c=")</f>
        <v>#REF!</v>
      </c>
      <c r="HI3" t="e">
        <f>AND(#REF!,"AAAAAHf789g=")</f>
        <v>#REF!</v>
      </c>
      <c r="HJ3" t="e">
        <f>IF(#REF!,"AAAAAHf789k=",0)</f>
        <v>#REF!</v>
      </c>
      <c r="HK3" t="e">
        <f>AND(#REF!,"AAAAAHf789o=")</f>
        <v>#REF!</v>
      </c>
      <c r="HL3" t="e">
        <f>AND(#REF!,"AAAAAHf789s=")</f>
        <v>#REF!</v>
      </c>
      <c r="HM3" t="e">
        <f>AND(#REF!,"AAAAAHf789w=")</f>
        <v>#REF!</v>
      </c>
      <c r="HN3" t="e">
        <f>AND(#REF!,"AAAAAHf7890=")</f>
        <v>#REF!</v>
      </c>
      <c r="HO3" t="e">
        <f>AND(#REF!,"AAAAAHf7894=")</f>
        <v>#REF!</v>
      </c>
      <c r="HP3" t="e">
        <f>AND(#REF!,"AAAAAHf7898=")</f>
        <v>#REF!</v>
      </c>
      <c r="HQ3" t="e">
        <f>AND(#REF!,"AAAAAHf78+A=")</f>
        <v>#REF!</v>
      </c>
      <c r="HR3" t="e">
        <f>AND(#REF!,"AAAAAHf78+E=")</f>
        <v>#REF!</v>
      </c>
      <c r="HS3" t="e">
        <f>AND(#REF!,"AAAAAHf78+I=")</f>
        <v>#REF!</v>
      </c>
      <c r="HT3" t="e">
        <f>AND(#REF!,"AAAAAHf78+M=")</f>
        <v>#REF!</v>
      </c>
      <c r="HU3" t="e">
        <f>AND(#REF!,"AAAAAHf78+Q=")</f>
        <v>#REF!</v>
      </c>
      <c r="HV3" t="e">
        <f>AND(#REF!,"AAAAAHf78+U=")</f>
        <v>#REF!</v>
      </c>
      <c r="HW3" t="e">
        <f>AND(#REF!,"AAAAAHf78+Y=")</f>
        <v>#REF!</v>
      </c>
      <c r="HX3" t="e">
        <f>AND(#REF!,"AAAAAHf78+c=")</f>
        <v>#REF!</v>
      </c>
      <c r="HY3" t="e">
        <f>AND(#REF!,"AAAAAHf78+g=")</f>
        <v>#REF!</v>
      </c>
      <c r="HZ3" t="e">
        <f>AND(#REF!,"AAAAAHf78+k=")</f>
        <v>#REF!</v>
      </c>
      <c r="IA3" t="e">
        <f>AND(#REF!,"AAAAAHf78+o=")</f>
        <v>#REF!</v>
      </c>
      <c r="IB3" t="e">
        <f>AND(#REF!,"AAAAAHf78+s=")</f>
        <v>#REF!</v>
      </c>
      <c r="IC3" t="e">
        <f>AND(#REF!,"AAAAAHf78+w=")</f>
        <v>#REF!</v>
      </c>
      <c r="ID3" t="e">
        <f>AND(#REF!,"AAAAAHf78+0=")</f>
        <v>#REF!</v>
      </c>
      <c r="IE3" t="e">
        <f>AND(#REF!,"AAAAAHf78+4=")</f>
        <v>#REF!</v>
      </c>
      <c r="IF3" t="e">
        <f>AND(#REF!,"AAAAAHf78+8=")</f>
        <v>#REF!</v>
      </c>
      <c r="IG3" t="e">
        <f>AND(#REF!,"AAAAAHf78/A=")</f>
        <v>#REF!</v>
      </c>
      <c r="IH3" t="e">
        <f>AND(#REF!,"AAAAAHf78/E=")</f>
        <v>#REF!</v>
      </c>
      <c r="II3" t="e">
        <f>AND(#REF!,"AAAAAHf78/I=")</f>
        <v>#REF!</v>
      </c>
      <c r="IJ3" t="e">
        <f>AND(#REF!,"AAAAAHf78/M=")</f>
        <v>#REF!</v>
      </c>
      <c r="IK3" t="e">
        <f>IF(#REF!,"AAAAAHf78/Q=",0)</f>
        <v>#REF!</v>
      </c>
      <c r="IL3" t="e">
        <f>AND(#REF!,"AAAAAHf78/U=")</f>
        <v>#REF!</v>
      </c>
      <c r="IM3" t="e">
        <f>AND(#REF!,"AAAAAHf78/Y=")</f>
        <v>#REF!</v>
      </c>
      <c r="IN3" t="e">
        <f>AND(#REF!,"AAAAAHf78/c=")</f>
        <v>#REF!</v>
      </c>
      <c r="IO3" t="e">
        <f>AND(#REF!,"AAAAAHf78/g=")</f>
        <v>#REF!</v>
      </c>
      <c r="IP3" t="e">
        <f>AND(#REF!,"AAAAAHf78/k=")</f>
        <v>#REF!</v>
      </c>
      <c r="IQ3" t="e">
        <f>AND(#REF!,"AAAAAHf78/o=")</f>
        <v>#REF!</v>
      </c>
      <c r="IR3" t="e">
        <f>AND(#REF!,"AAAAAHf78/s=")</f>
        <v>#REF!</v>
      </c>
      <c r="IS3" t="e">
        <f>AND(#REF!,"AAAAAHf78/w=")</f>
        <v>#REF!</v>
      </c>
      <c r="IT3" t="e">
        <f>AND(#REF!,"AAAAAHf78/0=")</f>
        <v>#REF!</v>
      </c>
      <c r="IU3" t="e">
        <f>AND(#REF!,"AAAAAHf78/4=")</f>
        <v>#REF!</v>
      </c>
      <c r="IV3" t="e">
        <f>AND(#REF!,"AAAAAHf78/8=")</f>
        <v>#REF!</v>
      </c>
    </row>
    <row r="4" spans="1:256" x14ac:dyDescent="0.2">
      <c r="A4" t="e">
        <f>AND(#REF!,"AAAAAH/YdQA=")</f>
        <v>#REF!</v>
      </c>
      <c r="B4" t="e">
        <f>AND(#REF!,"AAAAAH/YdQE=")</f>
        <v>#REF!</v>
      </c>
      <c r="C4" t="e">
        <f>AND(#REF!,"AAAAAH/YdQI=")</f>
        <v>#REF!</v>
      </c>
      <c r="D4" t="e">
        <f>AND(#REF!,"AAAAAH/YdQM=")</f>
        <v>#REF!</v>
      </c>
      <c r="E4" t="e">
        <f>AND(#REF!,"AAAAAH/YdQQ=")</f>
        <v>#REF!</v>
      </c>
      <c r="F4" t="e">
        <f>AND(#REF!,"AAAAAH/YdQU=")</f>
        <v>#REF!</v>
      </c>
      <c r="G4" t="e">
        <f>AND(#REF!,"AAAAAH/YdQY=")</f>
        <v>#REF!</v>
      </c>
      <c r="H4" t="e">
        <f>AND(#REF!,"AAAAAH/YdQc=")</f>
        <v>#REF!</v>
      </c>
      <c r="I4" t="e">
        <f>AND(#REF!,"AAAAAH/YdQg=")</f>
        <v>#REF!</v>
      </c>
      <c r="J4" t="e">
        <f>AND(#REF!,"AAAAAH/YdQk=")</f>
        <v>#REF!</v>
      </c>
      <c r="K4" t="e">
        <f>AND(#REF!,"AAAAAH/YdQo=")</f>
        <v>#REF!</v>
      </c>
      <c r="L4" t="e">
        <f>AND(#REF!,"AAAAAH/YdQs=")</f>
        <v>#REF!</v>
      </c>
      <c r="M4" t="e">
        <f>AND(#REF!,"AAAAAH/YdQw=")</f>
        <v>#REF!</v>
      </c>
      <c r="N4" t="e">
        <f>AND(#REF!,"AAAAAH/YdQ0=")</f>
        <v>#REF!</v>
      </c>
      <c r="O4" t="e">
        <f>AND(#REF!,"AAAAAH/YdQ4=")</f>
        <v>#REF!</v>
      </c>
      <c r="P4" t="e">
        <f>IF(#REF!,"AAAAAH/YdQ8=",0)</f>
        <v>#REF!</v>
      </c>
      <c r="Q4" t="e">
        <f>AND(#REF!,"AAAAAH/YdRA=")</f>
        <v>#REF!</v>
      </c>
      <c r="R4" t="e">
        <f>AND(#REF!,"AAAAAH/YdRE=")</f>
        <v>#REF!</v>
      </c>
      <c r="S4" t="e">
        <f>AND(#REF!,"AAAAAH/YdRI=")</f>
        <v>#REF!</v>
      </c>
      <c r="T4" t="e">
        <f>AND(#REF!,"AAAAAH/YdRM=")</f>
        <v>#REF!</v>
      </c>
      <c r="U4" t="e">
        <f>AND(#REF!,"AAAAAH/YdRQ=")</f>
        <v>#REF!</v>
      </c>
      <c r="V4" t="e">
        <f>AND(#REF!,"AAAAAH/YdRU=")</f>
        <v>#REF!</v>
      </c>
      <c r="W4" t="e">
        <f>AND(#REF!,"AAAAAH/YdRY=")</f>
        <v>#REF!</v>
      </c>
      <c r="X4" t="e">
        <f>AND(#REF!,"AAAAAH/YdRc=")</f>
        <v>#REF!</v>
      </c>
      <c r="Y4" t="e">
        <f>AND(#REF!,"AAAAAH/YdRg=")</f>
        <v>#REF!</v>
      </c>
      <c r="Z4" t="e">
        <f>AND(#REF!,"AAAAAH/YdRk=")</f>
        <v>#REF!</v>
      </c>
      <c r="AA4" t="e">
        <f>AND(#REF!,"AAAAAH/YdRo=")</f>
        <v>#REF!</v>
      </c>
      <c r="AB4" t="e">
        <f>AND(#REF!,"AAAAAH/YdRs=")</f>
        <v>#REF!</v>
      </c>
      <c r="AC4" t="e">
        <f>AND(#REF!,"AAAAAH/YdRw=")</f>
        <v>#REF!</v>
      </c>
      <c r="AD4" t="e">
        <f>AND(#REF!,"AAAAAH/YdR0=")</f>
        <v>#REF!</v>
      </c>
      <c r="AE4" t="e">
        <f>AND(#REF!,"AAAAAH/YdR4=")</f>
        <v>#REF!</v>
      </c>
      <c r="AF4" t="e">
        <f>AND(#REF!,"AAAAAH/YdR8=")</f>
        <v>#REF!</v>
      </c>
      <c r="AG4" t="e">
        <f>AND(#REF!,"AAAAAH/YdSA=")</f>
        <v>#REF!</v>
      </c>
      <c r="AH4" t="e">
        <f>AND(#REF!,"AAAAAH/YdSE=")</f>
        <v>#REF!</v>
      </c>
      <c r="AI4" t="e">
        <f>AND(#REF!,"AAAAAH/YdSI=")</f>
        <v>#REF!</v>
      </c>
      <c r="AJ4" t="e">
        <f>AND(#REF!,"AAAAAH/YdSM=")</f>
        <v>#REF!</v>
      </c>
      <c r="AK4" t="e">
        <f>AND(#REF!,"AAAAAH/YdSQ=")</f>
        <v>#REF!</v>
      </c>
      <c r="AL4" t="e">
        <f>AND(#REF!,"AAAAAH/YdSU=")</f>
        <v>#REF!</v>
      </c>
      <c r="AM4" t="e">
        <f>AND(#REF!,"AAAAAH/YdSY=")</f>
        <v>#REF!</v>
      </c>
      <c r="AN4" t="e">
        <f>AND(#REF!,"AAAAAH/YdSc=")</f>
        <v>#REF!</v>
      </c>
      <c r="AO4" t="e">
        <f>AND(#REF!,"AAAAAH/YdSg=")</f>
        <v>#REF!</v>
      </c>
      <c r="AP4" t="e">
        <f>AND(#REF!,"AAAAAH/YdSk=")</f>
        <v>#REF!</v>
      </c>
      <c r="AQ4" t="e">
        <f>IF(#REF!,"AAAAAH/YdSo=",0)</f>
        <v>#REF!</v>
      </c>
      <c r="AR4" t="e">
        <f>AND(#REF!,"AAAAAH/YdSs=")</f>
        <v>#REF!</v>
      </c>
      <c r="AS4" t="e">
        <f>AND(#REF!,"AAAAAH/YdSw=")</f>
        <v>#REF!</v>
      </c>
      <c r="AT4" t="e">
        <f>AND(#REF!,"AAAAAH/YdS0=")</f>
        <v>#REF!</v>
      </c>
      <c r="AU4" t="e">
        <f>AND(#REF!,"AAAAAH/YdS4=")</f>
        <v>#REF!</v>
      </c>
      <c r="AV4" t="e">
        <f>AND(#REF!,"AAAAAH/YdS8=")</f>
        <v>#REF!</v>
      </c>
      <c r="AW4" t="e">
        <f>AND(#REF!,"AAAAAH/YdTA=")</f>
        <v>#REF!</v>
      </c>
      <c r="AX4" t="e">
        <f>AND(#REF!,"AAAAAH/YdTE=")</f>
        <v>#REF!</v>
      </c>
      <c r="AY4" t="e">
        <f>AND(#REF!,"AAAAAH/YdTI=")</f>
        <v>#REF!</v>
      </c>
      <c r="AZ4" t="e">
        <f>AND(#REF!,"AAAAAH/YdTM=")</f>
        <v>#REF!</v>
      </c>
      <c r="BA4" t="e">
        <f>AND(#REF!,"AAAAAH/YdTQ=")</f>
        <v>#REF!</v>
      </c>
      <c r="BB4" t="e">
        <f>AND(#REF!,"AAAAAH/YdTU=")</f>
        <v>#REF!</v>
      </c>
      <c r="BC4" t="e">
        <f>AND(#REF!,"AAAAAH/YdTY=")</f>
        <v>#REF!</v>
      </c>
      <c r="BD4" t="e">
        <f>AND(#REF!,"AAAAAH/YdTc=")</f>
        <v>#REF!</v>
      </c>
      <c r="BE4" t="e">
        <f>AND(#REF!,"AAAAAH/YdTg=")</f>
        <v>#REF!</v>
      </c>
      <c r="BF4" t="e">
        <f>AND(#REF!,"AAAAAH/YdTk=")</f>
        <v>#REF!</v>
      </c>
      <c r="BG4" t="e">
        <f>AND(#REF!,"AAAAAH/YdTo=")</f>
        <v>#REF!</v>
      </c>
      <c r="BH4" t="e">
        <f>AND(#REF!,"AAAAAH/YdTs=")</f>
        <v>#REF!</v>
      </c>
      <c r="BI4" t="e">
        <f>AND(#REF!,"AAAAAH/YdTw=")</f>
        <v>#REF!</v>
      </c>
      <c r="BJ4" t="e">
        <f>AND(#REF!,"AAAAAH/YdT0=")</f>
        <v>#REF!</v>
      </c>
      <c r="BK4" t="e">
        <f>AND(#REF!,"AAAAAH/YdT4=")</f>
        <v>#REF!</v>
      </c>
      <c r="BL4" t="e">
        <f>AND(#REF!,"AAAAAH/YdT8=")</f>
        <v>#REF!</v>
      </c>
      <c r="BM4" t="e">
        <f>AND(#REF!,"AAAAAH/YdUA=")</f>
        <v>#REF!</v>
      </c>
      <c r="BN4" t="e">
        <f>AND(#REF!,"AAAAAH/YdUE=")</f>
        <v>#REF!</v>
      </c>
      <c r="BO4" t="e">
        <f>AND(#REF!,"AAAAAH/YdUI=")</f>
        <v>#REF!</v>
      </c>
      <c r="BP4" t="e">
        <f>AND(#REF!,"AAAAAH/YdUM=")</f>
        <v>#REF!</v>
      </c>
      <c r="BQ4" t="e">
        <f>AND(#REF!,"AAAAAH/YdUQ=")</f>
        <v>#REF!</v>
      </c>
      <c r="BR4" t="e">
        <f>IF(#REF!,"AAAAAH/YdUU=",0)</f>
        <v>#REF!</v>
      </c>
      <c r="BS4" t="e">
        <f>AND(#REF!,"AAAAAH/YdUY=")</f>
        <v>#REF!</v>
      </c>
      <c r="BT4" t="e">
        <f>AND(#REF!,"AAAAAH/YdUc=")</f>
        <v>#REF!</v>
      </c>
      <c r="BU4" t="e">
        <f>AND(#REF!,"AAAAAH/YdUg=")</f>
        <v>#REF!</v>
      </c>
      <c r="BV4" t="e">
        <f>AND(#REF!,"AAAAAH/YdUk=")</f>
        <v>#REF!</v>
      </c>
      <c r="BW4" t="e">
        <f>AND(#REF!,"AAAAAH/YdUo=")</f>
        <v>#REF!</v>
      </c>
      <c r="BX4" t="e">
        <f>AND(#REF!,"AAAAAH/YdUs=")</f>
        <v>#REF!</v>
      </c>
      <c r="BY4" t="e">
        <f>AND(#REF!,"AAAAAH/YdUw=")</f>
        <v>#REF!</v>
      </c>
      <c r="BZ4" t="e">
        <f>AND(#REF!,"AAAAAH/YdU0=")</f>
        <v>#REF!</v>
      </c>
      <c r="CA4" t="e">
        <f>AND(#REF!,"AAAAAH/YdU4=")</f>
        <v>#REF!</v>
      </c>
      <c r="CB4" t="e">
        <f>AND(#REF!,"AAAAAH/YdU8=")</f>
        <v>#REF!</v>
      </c>
      <c r="CC4" t="e">
        <f>AND(#REF!,"AAAAAH/YdVA=")</f>
        <v>#REF!</v>
      </c>
      <c r="CD4" t="e">
        <f>AND(#REF!,"AAAAAH/YdVE=")</f>
        <v>#REF!</v>
      </c>
      <c r="CE4" t="e">
        <f>AND(#REF!,"AAAAAH/YdVI=")</f>
        <v>#REF!</v>
      </c>
      <c r="CF4" t="e">
        <f>AND(#REF!,"AAAAAH/YdVM=")</f>
        <v>#REF!</v>
      </c>
      <c r="CG4" t="e">
        <f>AND(#REF!,"AAAAAH/YdVQ=")</f>
        <v>#REF!</v>
      </c>
      <c r="CH4" t="e">
        <f>AND(#REF!,"AAAAAH/YdVU=")</f>
        <v>#REF!</v>
      </c>
      <c r="CI4" t="e">
        <f>AND(#REF!,"AAAAAH/YdVY=")</f>
        <v>#REF!</v>
      </c>
      <c r="CJ4" t="e">
        <f>AND(#REF!,"AAAAAH/YdVc=")</f>
        <v>#REF!</v>
      </c>
      <c r="CK4" t="e">
        <f>AND(#REF!,"AAAAAH/YdVg=")</f>
        <v>#REF!</v>
      </c>
      <c r="CL4" t="e">
        <f>AND(#REF!,"AAAAAH/YdVk=")</f>
        <v>#REF!</v>
      </c>
      <c r="CM4" t="e">
        <f>AND(#REF!,"AAAAAH/YdVo=")</f>
        <v>#REF!</v>
      </c>
      <c r="CN4" t="e">
        <f>AND(#REF!,"AAAAAH/YdVs=")</f>
        <v>#REF!</v>
      </c>
      <c r="CO4" t="e">
        <f>AND(#REF!,"AAAAAH/YdVw=")</f>
        <v>#REF!</v>
      </c>
      <c r="CP4" t="e">
        <f>AND(#REF!,"AAAAAH/YdV0=")</f>
        <v>#REF!</v>
      </c>
      <c r="CQ4" t="e">
        <f>AND(#REF!,"AAAAAH/YdV4=")</f>
        <v>#REF!</v>
      </c>
      <c r="CR4" t="e">
        <f>AND(#REF!,"AAAAAH/YdV8=")</f>
        <v>#REF!</v>
      </c>
      <c r="CS4" t="e">
        <f>IF(#REF!,"AAAAAH/YdWA=",0)</f>
        <v>#REF!</v>
      </c>
      <c r="CT4" t="e">
        <f>AND(#REF!,"AAAAAH/YdWE=")</f>
        <v>#REF!</v>
      </c>
      <c r="CU4" t="e">
        <f>AND(#REF!,"AAAAAH/YdWI=")</f>
        <v>#REF!</v>
      </c>
      <c r="CV4" t="e">
        <f>AND(#REF!,"AAAAAH/YdWM=")</f>
        <v>#REF!</v>
      </c>
      <c r="CW4" t="e">
        <f>AND(#REF!,"AAAAAH/YdWQ=")</f>
        <v>#REF!</v>
      </c>
      <c r="CX4" t="e">
        <f>AND(#REF!,"AAAAAH/YdWU=")</f>
        <v>#REF!</v>
      </c>
      <c r="CY4" t="e">
        <f>AND(#REF!,"AAAAAH/YdWY=")</f>
        <v>#REF!</v>
      </c>
      <c r="CZ4" t="e">
        <f>AND(#REF!,"AAAAAH/YdWc=")</f>
        <v>#REF!</v>
      </c>
      <c r="DA4" t="e">
        <f>AND(#REF!,"AAAAAH/YdWg=")</f>
        <v>#REF!</v>
      </c>
      <c r="DB4" t="e">
        <f>AND(#REF!,"AAAAAH/YdWk=")</f>
        <v>#REF!</v>
      </c>
      <c r="DC4" t="e">
        <f>AND(#REF!,"AAAAAH/YdWo=")</f>
        <v>#REF!</v>
      </c>
      <c r="DD4" t="e">
        <f>AND(#REF!,"AAAAAH/YdWs=")</f>
        <v>#REF!</v>
      </c>
      <c r="DE4" t="e">
        <f>AND(#REF!,"AAAAAH/YdWw=")</f>
        <v>#REF!</v>
      </c>
      <c r="DF4" t="e">
        <f>AND(#REF!,"AAAAAH/YdW0=")</f>
        <v>#REF!</v>
      </c>
      <c r="DG4" t="e">
        <f>AND(#REF!,"AAAAAH/YdW4=")</f>
        <v>#REF!</v>
      </c>
      <c r="DH4" t="e">
        <f>AND(#REF!,"AAAAAH/YdW8=")</f>
        <v>#REF!</v>
      </c>
      <c r="DI4" t="e">
        <f>AND(#REF!,"AAAAAH/YdXA=")</f>
        <v>#REF!</v>
      </c>
      <c r="DJ4" t="e">
        <f>AND(#REF!,"AAAAAH/YdXE=")</f>
        <v>#REF!</v>
      </c>
      <c r="DK4" t="e">
        <f>AND(#REF!,"AAAAAH/YdXI=")</f>
        <v>#REF!</v>
      </c>
      <c r="DL4" t="e">
        <f>AND(#REF!,"AAAAAH/YdXM=")</f>
        <v>#REF!</v>
      </c>
      <c r="DM4" t="e">
        <f>AND(#REF!,"AAAAAH/YdXQ=")</f>
        <v>#REF!</v>
      </c>
      <c r="DN4" t="e">
        <f>AND(#REF!,"AAAAAH/YdXU=")</f>
        <v>#REF!</v>
      </c>
      <c r="DO4" t="e">
        <f>AND(#REF!,"AAAAAH/YdXY=")</f>
        <v>#REF!</v>
      </c>
      <c r="DP4" t="e">
        <f>AND(#REF!,"AAAAAH/YdXc=")</f>
        <v>#REF!</v>
      </c>
      <c r="DQ4" t="e">
        <f>AND(#REF!,"AAAAAH/YdXg=")</f>
        <v>#REF!</v>
      </c>
      <c r="DR4" t="e">
        <f>AND(#REF!,"AAAAAH/YdXk=")</f>
        <v>#REF!</v>
      </c>
      <c r="DS4" t="e">
        <f>AND(#REF!,"AAAAAH/YdXo=")</f>
        <v>#REF!</v>
      </c>
      <c r="DT4" t="e">
        <f>IF(#REF!,"AAAAAH/YdXs=",0)</f>
        <v>#REF!</v>
      </c>
      <c r="DU4" t="e">
        <f>AND(#REF!,"AAAAAH/YdXw=")</f>
        <v>#REF!</v>
      </c>
      <c r="DV4" t="e">
        <f>AND(#REF!,"AAAAAH/YdX0=")</f>
        <v>#REF!</v>
      </c>
      <c r="DW4" t="e">
        <f>AND(#REF!,"AAAAAH/YdX4=")</f>
        <v>#REF!</v>
      </c>
      <c r="DX4" t="e">
        <f>AND(#REF!,"AAAAAH/YdX8=")</f>
        <v>#REF!</v>
      </c>
      <c r="DY4" t="e">
        <f>AND(#REF!,"AAAAAH/YdYA=")</f>
        <v>#REF!</v>
      </c>
      <c r="DZ4" t="e">
        <f>AND(#REF!,"AAAAAH/YdYE=")</f>
        <v>#REF!</v>
      </c>
      <c r="EA4" t="e">
        <f>AND(#REF!,"AAAAAH/YdYI=")</f>
        <v>#REF!</v>
      </c>
      <c r="EB4" t="e">
        <f>AND(#REF!,"AAAAAH/YdYM=")</f>
        <v>#REF!</v>
      </c>
      <c r="EC4" t="e">
        <f>AND(#REF!,"AAAAAH/YdYQ=")</f>
        <v>#REF!</v>
      </c>
      <c r="ED4" t="e">
        <f>AND(#REF!,"AAAAAH/YdYU=")</f>
        <v>#REF!</v>
      </c>
      <c r="EE4" t="e">
        <f>AND(#REF!,"AAAAAH/YdYY=")</f>
        <v>#REF!</v>
      </c>
      <c r="EF4" t="e">
        <f>AND(#REF!,"AAAAAH/YdYc=")</f>
        <v>#REF!</v>
      </c>
      <c r="EG4" t="e">
        <f>AND(#REF!,"AAAAAH/YdYg=")</f>
        <v>#REF!</v>
      </c>
      <c r="EH4" t="e">
        <f>AND(#REF!,"AAAAAH/YdYk=")</f>
        <v>#REF!</v>
      </c>
      <c r="EI4" t="e">
        <f>AND(#REF!,"AAAAAH/YdYo=")</f>
        <v>#REF!</v>
      </c>
      <c r="EJ4" t="e">
        <f>AND(#REF!,"AAAAAH/YdYs=")</f>
        <v>#REF!</v>
      </c>
      <c r="EK4" t="e">
        <f>AND(#REF!,"AAAAAH/YdYw=")</f>
        <v>#REF!</v>
      </c>
      <c r="EL4" t="e">
        <f>AND(#REF!,"AAAAAH/YdY0=")</f>
        <v>#REF!</v>
      </c>
      <c r="EM4" t="e">
        <f>AND(#REF!,"AAAAAH/YdY4=")</f>
        <v>#REF!</v>
      </c>
      <c r="EN4" t="e">
        <f>AND(#REF!,"AAAAAH/YdY8=")</f>
        <v>#REF!</v>
      </c>
      <c r="EO4" t="e">
        <f>AND(#REF!,"AAAAAH/YdZA=")</f>
        <v>#REF!</v>
      </c>
      <c r="EP4" t="e">
        <f>AND(#REF!,"AAAAAH/YdZE=")</f>
        <v>#REF!</v>
      </c>
      <c r="EQ4" t="e">
        <f>AND(#REF!,"AAAAAH/YdZI=")</f>
        <v>#REF!</v>
      </c>
      <c r="ER4" t="e">
        <f>AND(#REF!,"AAAAAH/YdZM=")</f>
        <v>#REF!</v>
      </c>
      <c r="ES4" t="e">
        <f>AND(#REF!,"AAAAAH/YdZQ=")</f>
        <v>#REF!</v>
      </c>
      <c r="ET4" t="e">
        <f>AND(#REF!,"AAAAAH/YdZU=")</f>
        <v>#REF!</v>
      </c>
      <c r="EU4" t="e">
        <f>IF(#REF!,"AAAAAH/YdZY=",0)</f>
        <v>#REF!</v>
      </c>
      <c r="EV4" t="e">
        <f>AND(#REF!,"AAAAAH/YdZc=")</f>
        <v>#REF!</v>
      </c>
      <c r="EW4" t="e">
        <f>AND(#REF!,"AAAAAH/YdZg=")</f>
        <v>#REF!</v>
      </c>
      <c r="EX4" t="e">
        <f>AND(#REF!,"AAAAAH/YdZk=")</f>
        <v>#REF!</v>
      </c>
      <c r="EY4" t="e">
        <f>AND(#REF!,"AAAAAH/YdZo=")</f>
        <v>#REF!</v>
      </c>
      <c r="EZ4" t="e">
        <f>AND(#REF!,"AAAAAH/YdZs=")</f>
        <v>#REF!</v>
      </c>
      <c r="FA4" t="e">
        <f>AND(#REF!,"AAAAAH/YdZw=")</f>
        <v>#REF!</v>
      </c>
      <c r="FB4" t="e">
        <f>AND(#REF!,"AAAAAH/YdZ0=")</f>
        <v>#REF!</v>
      </c>
      <c r="FC4" t="e">
        <f>AND(#REF!,"AAAAAH/YdZ4=")</f>
        <v>#REF!</v>
      </c>
      <c r="FD4" t="e">
        <f>AND(#REF!,"AAAAAH/YdZ8=")</f>
        <v>#REF!</v>
      </c>
      <c r="FE4" t="e">
        <f>AND(#REF!,"AAAAAH/YdaA=")</f>
        <v>#REF!</v>
      </c>
      <c r="FF4" t="e">
        <f>AND(#REF!,"AAAAAH/YdaE=")</f>
        <v>#REF!</v>
      </c>
      <c r="FG4" t="e">
        <f>AND(#REF!,"AAAAAH/YdaI=")</f>
        <v>#REF!</v>
      </c>
      <c r="FH4" t="e">
        <f>AND(#REF!,"AAAAAH/YdaM=")</f>
        <v>#REF!</v>
      </c>
      <c r="FI4" t="e">
        <f>AND(#REF!,"AAAAAH/YdaQ=")</f>
        <v>#REF!</v>
      </c>
      <c r="FJ4" t="e">
        <f>AND(#REF!,"AAAAAH/YdaU=")</f>
        <v>#REF!</v>
      </c>
      <c r="FK4" t="e">
        <f>AND(#REF!,"AAAAAH/YdaY=")</f>
        <v>#REF!</v>
      </c>
      <c r="FL4" t="e">
        <f>AND(#REF!,"AAAAAH/Ydac=")</f>
        <v>#REF!</v>
      </c>
      <c r="FM4" t="e">
        <f>AND(#REF!,"AAAAAH/Ydag=")</f>
        <v>#REF!</v>
      </c>
      <c r="FN4" t="e">
        <f>AND(#REF!,"AAAAAH/Ydak=")</f>
        <v>#REF!</v>
      </c>
      <c r="FO4" t="e">
        <f>AND(#REF!,"AAAAAH/Ydao=")</f>
        <v>#REF!</v>
      </c>
      <c r="FP4" t="e">
        <f>AND(#REF!,"AAAAAH/Ydas=")</f>
        <v>#REF!</v>
      </c>
      <c r="FQ4" t="e">
        <f>AND(#REF!,"AAAAAH/Ydaw=")</f>
        <v>#REF!</v>
      </c>
      <c r="FR4" t="e">
        <f>AND(#REF!,"AAAAAH/Yda0=")</f>
        <v>#REF!</v>
      </c>
      <c r="FS4" t="e">
        <f>AND(#REF!,"AAAAAH/Yda4=")</f>
        <v>#REF!</v>
      </c>
      <c r="FT4" t="e">
        <f>AND(#REF!,"AAAAAH/Yda8=")</f>
        <v>#REF!</v>
      </c>
      <c r="FU4" t="e">
        <f>AND(#REF!,"AAAAAH/YdbA=")</f>
        <v>#REF!</v>
      </c>
      <c r="FV4" t="e">
        <f>IF(#REF!,"AAAAAH/YdbE=",0)</f>
        <v>#REF!</v>
      </c>
      <c r="FW4" t="e">
        <f>AND(#REF!,"AAAAAH/YdbI=")</f>
        <v>#REF!</v>
      </c>
      <c r="FX4" t="e">
        <f>AND(#REF!,"AAAAAH/YdbM=")</f>
        <v>#REF!</v>
      </c>
      <c r="FY4" t="e">
        <f>AND(#REF!,"AAAAAH/YdbQ=")</f>
        <v>#REF!</v>
      </c>
      <c r="FZ4" t="e">
        <f>AND(#REF!,"AAAAAH/YdbU=")</f>
        <v>#REF!</v>
      </c>
      <c r="GA4" t="e">
        <f>AND(#REF!,"AAAAAH/YdbY=")</f>
        <v>#REF!</v>
      </c>
      <c r="GB4" t="e">
        <f>AND(#REF!,"AAAAAH/Ydbc=")</f>
        <v>#REF!</v>
      </c>
      <c r="GC4" t="e">
        <f>AND(#REF!,"AAAAAH/Ydbg=")</f>
        <v>#REF!</v>
      </c>
      <c r="GD4" t="e">
        <f>AND(#REF!,"AAAAAH/Ydbk=")</f>
        <v>#REF!</v>
      </c>
      <c r="GE4" t="e">
        <f>AND(#REF!,"AAAAAH/Ydbo=")</f>
        <v>#REF!</v>
      </c>
      <c r="GF4" t="e">
        <f>AND(#REF!,"AAAAAH/Ydbs=")</f>
        <v>#REF!</v>
      </c>
      <c r="GG4" t="e">
        <f>AND(#REF!,"AAAAAH/Ydbw=")</f>
        <v>#REF!</v>
      </c>
      <c r="GH4" t="e">
        <f>AND(#REF!,"AAAAAH/Ydb0=")</f>
        <v>#REF!</v>
      </c>
      <c r="GI4" t="e">
        <f>AND(#REF!,"AAAAAH/Ydb4=")</f>
        <v>#REF!</v>
      </c>
      <c r="GJ4" t="e">
        <f>AND(#REF!,"AAAAAH/Ydb8=")</f>
        <v>#REF!</v>
      </c>
      <c r="GK4" t="e">
        <f>AND(#REF!,"AAAAAH/YdcA=")</f>
        <v>#REF!</v>
      </c>
      <c r="GL4" t="e">
        <f>AND(#REF!,"AAAAAH/YdcE=")</f>
        <v>#REF!</v>
      </c>
      <c r="GM4" t="e">
        <f>AND(#REF!,"AAAAAH/YdcI=")</f>
        <v>#REF!</v>
      </c>
      <c r="GN4" t="e">
        <f>AND(#REF!,"AAAAAH/YdcM=")</f>
        <v>#REF!</v>
      </c>
      <c r="GO4" t="e">
        <f>AND(#REF!,"AAAAAH/YdcQ=")</f>
        <v>#REF!</v>
      </c>
      <c r="GP4" t="e">
        <f>AND(#REF!,"AAAAAH/YdcU=")</f>
        <v>#REF!</v>
      </c>
      <c r="GQ4" t="e">
        <f>AND(#REF!,"AAAAAH/YdcY=")</f>
        <v>#REF!</v>
      </c>
      <c r="GR4" t="e">
        <f>AND(#REF!,"AAAAAH/Ydcc=")</f>
        <v>#REF!</v>
      </c>
      <c r="GS4" t="e">
        <f>AND(#REF!,"AAAAAH/Ydcg=")</f>
        <v>#REF!</v>
      </c>
      <c r="GT4" t="e">
        <f>AND(#REF!,"AAAAAH/Ydck=")</f>
        <v>#REF!</v>
      </c>
      <c r="GU4" t="e">
        <f>AND(#REF!,"AAAAAH/Ydco=")</f>
        <v>#REF!</v>
      </c>
      <c r="GV4" t="e">
        <f>AND(#REF!,"AAAAAH/Ydcs=")</f>
        <v>#REF!</v>
      </c>
      <c r="GW4" t="e">
        <f>IF(#REF!,"AAAAAH/Ydcw=",0)</f>
        <v>#REF!</v>
      </c>
      <c r="GX4" t="e">
        <f>AND(#REF!,"AAAAAH/Ydc0=")</f>
        <v>#REF!</v>
      </c>
      <c r="GY4" t="e">
        <f>AND(#REF!,"AAAAAH/Ydc4=")</f>
        <v>#REF!</v>
      </c>
      <c r="GZ4" t="e">
        <f>AND(#REF!,"AAAAAH/Ydc8=")</f>
        <v>#REF!</v>
      </c>
      <c r="HA4" t="e">
        <f>AND(#REF!,"AAAAAH/YddA=")</f>
        <v>#REF!</v>
      </c>
      <c r="HB4" t="e">
        <f>AND(#REF!,"AAAAAH/YddE=")</f>
        <v>#REF!</v>
      </c>
      <c r="HC4" t="e">
        <f>AND(#REF!,"AAAAAH/YddI=")</f>
        <v>#REF!</v>
      </c>
      <c r="HD4" t="e">
        <f>AND(#REF!,"AAAAAH/YddM=")</f>
        <v>#REF!</v>
      </c>
      <c r="HE4" t="e">
        <f>AND(#REF!,"AAAAAH/YddQ=")</f>
        <v>#REF!</v>
      </c>
      <c r="HF4" t="e">
        <f>AND(#REF!,"AAAAAH/YddU=")</f>
        <v>#REF!</v>
      </c>
      <c r="HG4" t="e">
        <f>AND(#REF!,"AAAAAH/YddY=")</f>
        <v>#REF!</v>
      </c>
      <c r="HH4" t="e">
        <f>AND(#REF!,"AAAAAH/Yddc=")</f>
        <v>#REF!</v>
      </c>
      <c r="HI4" t="e">
        <f>AND(#REF!,"AAAAAH/Yddg=")</f>
        <v>#REF!</v>
      </c>
      <c r="HJ4" t="e">
        <f>AND(#REF!,"AAAAAH/Yddk=")</f>
        <v>#REF!</v>
      </c>
      <c r="HK4" t="e">
        <f>AND(#REF!,"AAAAAH/Yddo=")</f>
        <v>#REF!</v>
      </c>
      <c r="HL4" t="e">
        <f>AND(#REF!,"AAAAAH/Ydds=")</f>
        <v>#REF!</v>
      </c>
      <c r="HM4" t="e">
        <f>AND(#REF!,"AAAAAH/Yddw=")</f>
        <v>#REF!</v>
      </c>
      <c r="HN4" t="e">
        <f>AND(#REF!,"AAAAAH/Ydd0=")</f>
        <v>#REF!</v>
      </c>
      <c r="HO4" t="e">
        <f>AND(#REF!,"AAAAAH/Ydd4=")</f>
        <v>#REF!</v>
      </c>
      <c r="HP4" t="e">
        <f>AND(#REF!,"AAAAAH/Ydd8=")</f>
        <v>#REF!</v>
      </c>
      <c r="HQ4" t="e">
        <f>AND(#REF!,"AAAAAH/YdeA=")</f>
        <v>#REF!</v>
      </c>
      <c r="HR4" t="e">
        <f>AND(#REF!,"AAAAAH/YdeE=")</f>
        <v>#REF!</v>
      </c>
      <c r="HS4" t="e">
        <f>AND(#REF!,"AAAAAH/YdeI=")</f>
        <v>#REF!</v>
      </c>
      <c r="HT4" t="e">
        <f>AND(#REF!,"AAAAAH/YdeM=")</f>
        <v>#REF!</v>
      </c>
      <c r="HU4" t="e">
        <f>AND(#REF!,"AAAAAH/YdeQ=")</f>
        <v>#REF!</v>
      </c>
      <c r="HV4" t="e">
        <f>AND(#REF!,"AAAAAH/YdeU=")</f>
        <v>#REF!</v>
      </c>
      <c r="HW4" t="e">
        <f>AND(#REF!,"AAAAAH/YdeY=")</f>
        <v>#REF!</v>
      </c>
      <c r="HX4" t="e">
        <f>IF(#REF!,"AAAAAH/Ydec=",0)</f>
        <v>#REF!</v>
      </c>
      <c r="HY4" t="e">
        <f>AND(#REF!,"AAAAAH/Ydeg=")</f>
        <v>#REF!</v>
      </c>
      <c r="HZ4" t="e">
        <f>AND(#REF!,"AAAAAH/Ydek=")</f>
        <v>#REF!</v>
      </c>
      <c r="IA4" t="e">
        <f>AND(#REF!,"AAAAAH/Ydeo=")</f>
        <v>#REF!</v>
      </c>
      <c r="IB4" t="e">
        <f>AND(#REF!,"AAAAAH/Ydes=")</f>
        <v>#REF!</v>
      </c>
      <c r="IC4" t="e">
        <f>AND(#REF!,"AAAAAH/Ydew=")</f>
        <v>#REF!</v>
      </c>
      <c r="ID4" t="e">
        <f>AND(#REF!,"AAAAAH/Yde0=")</f>
        <v>#REF!</v>
      </c>
      <c r="IE4" t="e">
        <f>AND(#REF!,"AAAAAH/Yde4=")</f>
        <v>#REF!</v>
      </c>
      <c r="IF4" t="e">
        <f>AND(#REF!,"AAAAAH/Yde8=")</f>
        <v>#REF!</v>
      </c>
      <c r="IG4" t="e">
        <f>AND(#REF!,"AAAAAH/YdfA=")</f>
        <v>#REF!</v>
      </c>
      <c r="IH4" t="e">
        <f>AND(#REF!,"AAAAAH/YdfE=")</f>
        <v>#REF!</v>
      </c>
      <c r="II4" t="e">
        <f>AND(#REF!,"AAAAAH/YdfI=")</f>
        <v>#REF!</v>
      </c>
      <c r="IJ4" t="e">
        <f>AND(#REF!,"AAAAAH/YdfM=")</f>
        <v>#REF!</v>
      </c>
      <c r="IK4" t="e">
        <f>AND(#REF!,"AAAAAH/YdfQ=")</f>
        <v>#REF!</v>
      </c>
      <c r="IL4" t="e">
        <f>AND(#REF!,"AAAAAH/YdfU=")</f>
        <v>#REF!</v>
      </c>
      <c r="IM4" t="e">
        <f>AND(#REF!,"AAAAAH/YdfY=")</f>
        <v>#REF!</v>
      </c>
      <c r="IN4" t="e">
        <f>AND(#REF!,"AAAAAH/Ydfc=")</f>
        <v>#REF!</v>
      </c>
      <c r="IO4" t="e">
        <f>AND(#REF!,"AAAAAH/Ydfg=")</f>
        <v>#REF!</v>
      </c>
      <c r="IP4" t="e">
        <f>AND(#REF!,"AAAAAH/Ydfk=")</f>
        <v>#REF!</v>
      </c>
      <c r="IQ4" t="e">
        <f>AND(#REF!,"AAAAAH/Ydfo=")</f>
        <v>#REF!</v>
      </c>
      <c r="IR4" t="e">
        <f>AND(#REF!,"AAAAAH/Ydfs=")</f>
        <v>#REF!</v>
      </c>
      <c r="IS4" t="e">
        <f>AND(#REF!,"AAAAAH/Ydfw=")</f>
        <v>#REF!</v>
      </c>
      <c r="IT4" t="e">
        <f>AND(#REF!,"AAAAAH/Ydf0=")</f>
        <v>#REF!</v>
      </c>
      <c r="IU4" t="e">
        <f>AND(#REF!,"AAAAAH/Ydf4=")</f>
        <v>#REF!</v>
      </c>
      <c r="IV4" t="e">
        <f>AND(#REF!,"AAAAAH/Ydf8=")</f>
        <v>#REF!</v>
      </c>
    </row>
    <row r="5" spans="1:256" x14ac:dyDescent="0.2">
      <c r="A5" t="e">
        <f>AND(#REF!,"AAAAAH199wA=")</f>
        <v>#REF!</v>
      </c>
      <c r="B5" t="e">
        <f>AND(#REF!,"AAAAAH199wE=")</f>
        <v>#REF!</v>
      </c>
      <c r="C5" t="e">
        <f>IF(#REF!,"AAAAAH199wI=",0)</f>
        <v>#REF!</v>
      </c>
      <c r="D5" t="e">
        <f>AND(#REF!,"AAAAAH199wM=")</f>
        <v>#REF!</v>
      </c>
      <c r="E5" t="e">
        <f>AND(#REF!,"AAAAAH199wQ=")</f>
        <v>#REF!</v>
      </c>
      <c r="F5" t="e">
        <f>AND(#REF!,"AAAAAH199wU=")</f>
        <v>#REF!</v>
      </c>
      <c r="G5" t="e">
        <f>AND(#REF!,"AAAAAH199wY=")</f>
        <v>#REF!</v>
      </c>
      <c r="H5" t="e">
        <f>AND(#REF!,"AAAAAH199wc=")</f>
        <v>#REF!</v>
      </c>
      <c r="I5" t="e">
        <f>AND(#REF!,"AAAAAH199wg=")</f>
        <v>#REF!</v>
      </c>
      <c r="J5" t="e">
        <f>AND(#REF!,"AAAAAH199wk=")</f>
        <v>#REF!</v>
      </c>
      <c r="K5" t="e">
        <f>AND(#REF!,"AAAAAH199wo=")</f>
        <v>#REF!</v>
      </c>
      <c r="L5" t="e">
        <f>AND(#REF!,"AAAAAH199ws=")</f>
        <v>#REF!</v>
      </c>
      <c r="M5" t="e">
        <f>AND(#REF!,"AAAAAH199ww=")</f>
        <v>#REF!</v>
      </c>
      <c r="N5" t="e">
        <f>AND(#REF!,"AAAAAH199w0=")</f>
        <v>#REF!</v>
      </c>
      <c r="O5" t="e">
        <f>AND(#REF!,"AAAAAH199w4=")</f>
        <v>#REF!</v>
      </c>
      <c r="P5" t="e">
        <f>AND(#REF!,"AAAAAH199w8=")</f>
        <v>#REF!</v>
      </c>
      <c r="Q5" t="e">
        <f>AND(#REF!,"AAAAAH199xA=")</f>
        <v>#REF!</v>
      </c>
      <c r="R5" t="e">
        <f>AND(#REF!,"AAAAAH199xE=")</f>
        <v>#REF!</v>
      </c>
      <c r="S5" t="e">
        <f>AND(#REF!,"AAAAAH199xI=")</f>
        <v>#REF!</v>
      </c>
      <c r="T5" t="e">
        <f>AND(#REF!,"AAAAAH199xM=")</f>
        <v>#REF!</v>
      </c>
      <c r="U5" t="e">
        <f>AND(#REF!,"AAAAAH199xQ=")</f>
        <v>#REF!</v>
      </c>
      <c r="V5" t="e">
        <f>AND(#REF!,"AAAAAH199xU=")</f>
        <v>#REF!</v>
      </c>
      <c r="W5" t="e">
        <f>AND(#REF!,"AAAAAH199xY=")</f>
        <v>#REF!</v>
      </c>
      <c r="X5" t="e">
        <f>AND(#REF!,"AAAAAH199xc=")</f>
        <v>#REF!</v>
      </c>
      <c r="Y5" t="e">
        <f>AND(#REF!,"AAAAAH199xg=")</f>
        <v>#REF!</v>
      </c>
      <c r="Z5" t="e">
        <f>AND(#REF!,"AAAAAH199xk=")</f>
        <v>#REF!</v>
      </c>
      <c r="AA5" t="e">
        <f>AND(#REF!,"AAAAAH199xo=")</f>
        <v>#REF!</v>
      </c>
      <c r="AB5" t="e">
        <f>AND(#REF!,"AAAAAH199xs=")</f>
        <v>#REF!</v>
      </c>
      <c r="AC5" t="e">
        <f>AND(#REF!,"AAAAAH199xw=")</f>
        <v>#REF!</v>
      </c>
      <c r="AD5" t="e">
        <f>IF(#REF!,"AAAAAH199x0=",0)</f>
        <v>#REF!</v>
      </c>
      <c r="AE5" t="e">
        <f>AND(#REF!,"AAAAAH199x4=")</f>
        <v>#REF!</v>
      </c>
      <c r="AF5" t="e">
        <f>AND(#REF!,"AAAAAH199x8=")</f>
        <v>#REF!</v>
      </c>
      <c r="AG5" t="e">
        <f>AND(#REF!,"AAAAAH199yA=")</f>
        <v>#REF!</v>
      </c>
      <c r="AH5" t="e">
        <f>AND(#REF!,"AAAAAH199yE=")</f>
        <v>#REF!</v>
      </c>
      <c r="AI5" t="e">
        <f>AND(#REF!,"AAAAAH199yI=")</f>
        <v>#REF!</v>
      </c>
      <c r="AJ5" t="e">
        <f>AND(#REF!,"AAAAAH199yM=")</f>
        <v>#REF!</v>
      </c>
      <c r="AK5" t="e">
        <f>AND(#REF!,"AAAAAH199yQ=")</f>
        <v>#REF!</v>
      </c>
      <c r="AL5" t="e">
        <f>AND(#REF!,"AAAAAH199yU=")</f>
        <v>#REF!</v>
      </c>
      <c r="AM5" t="e">
        <f>AND(#REF!,"AAAAAH199yY=")</f>
        <v>#REF!</v>
      </c>
      <c r="AN5" t="e">
        <f>AND(#REF!,"AAAAAH199yc=")</f>
        <v>#REF!</v>
      </c>
      <c r="AO5" t="e">
        <f>AND(#REF!,"AAAAAH199yg=")</f>
        <v>#REF!</v>
      </c>
      <c r="AP5" t="e">
        <f>AND(#REF!,"AAAAAH199yk=")</f>
        <v>#REF!</v>
      </c>
      <c r="AQ5" t="e">
        <f>AND(#REF!,"AAAAAH199yo=")</f>
        <v>#REF!</v>
      </c>
      <c r="AR5" t="e">
        <f>AND(#REF!,"AAAAAH199ys=")</f>
        <v>#REF!</v>
      </c>
      <c r="AS5" t="e">
        <f>AND(#REF!,"AAAAAH199yw=")</f>
        <v>#REF!</v>
      </c>
      <c r="AT5" t="e">
        <f>AND(#REF!,"AAAAAH199y0=")</f>
        <v>#REF!</v>
      </c>
      <c r="AU5" t="e">
        <f>AND(#REF!,"AAAAAH199y4=")</f>
        <v>#REF!</v>
      </c>
      <c r="AV5" t="e">
        <f>AND(#REF!,"AAAAAH199y8=")</f>
        <v>#REF!</v>
      </c>
      <c r="AW5" t="e">
        <f>AND(#REF!,"AAAAAH199zA=")</f>
        <v>#REF!</v>
      </c>
      <c r="AX5" t="e">
        <f>AND(#REF!,"AAAAAH199zE=")</f>
        <v>#REF!</v>
      </c>
      <c r="AY5" t="e">
        <f>AND(#REF!,"AAAAAH199zI=")</f>
        <v>#REF!</v>
      </c>
      <c r="AZ5" t="e">
        <f>AND(#REF!,"AAAAAH199zM=")</f>
        <v>#REF!</v>
      </c>
      <c r="BA5" t="e">
        <f>AND(#REF!,"AAAAAH199zQ=")</f>
        <v>#REF!</v>
      </c>
      <c r="BB5" t="e">
        <f>AND(#REF!,"AAAAAH199zU=")</f>
        <v>#REF!</v>
      </c>
      <c r="BC5" t="e">
        <f>AND(#REF!,"AAAAAH199zY=")</f>
        <v>#REF!</v>
      </c>
      <c r="BD5" t="e">
        <f>AND(#REF!,"AAAAAH199zc=")</f>
        <v>#REF!</v>
      </c>
      <c r="BE5" t="e">
        <f>IF(#REF!,"AAAAAH199zg=",0)</f>
        <v>#REF!</v>
      </c>
      <c r="BF5" t="e">
        <f>AND(#REF!,"AAAAAH199zk=")</f>
        <v>#REF!</v>
      </c>
      <c r="BG5" t="e">
        <f>AND(#REF!,"AAAAAH199zo=")</f>
        <v>#REF!</v>
      </c>
      <c r="BH5" t="e">
        <f>AND(#REF!,"AAAAAH199zs=")</f>
        <v>#REF!</v>
      </c>
      <c r="BI5" t="e">
        <f>AND(#REF!,"AAAAAH199zw=")</f>
        <v>#REF!</v>
      </c>
      <c r="BJ5" t="e">
        <f>AND(#REF!,"AAAAAH199z0=")</f>
        <v>#REF!</v>
      </c>
      <c r="BK5" t="e">
        <f>AND(#REF!,"AAAAAH199z4=")</f>
        <v>#REF!</v>
      </c>
      <c r="BL5" t="e">
        <f>AND(#REF!,"AAAAAH199z8=")</f>
        <v>#REF!</v>
      </c>
      <c r="BM5" t="e">
        <f>AND(#REF!,"AAAAAH1990A=")</f>
        <v>#REF!</v>
      </c>
      <c r="BN5" t="e">
        <f>AND(#REF!,"AAAAAH1990E=")</f>
        <v>#REF!</v>
      </c>
      <c r="BO5" t="e">
        <f>AND(#REF!,"AAAAAH1990I=")</f>
        <v>#REF!</v>
      </c>
      <c r="BP5" t="e">
        <f>AND(#REF!,"AAAAAH1990M=")</f>
        <v>#REF!</v>
      </c>
      <c r="BQ5" t="e">
        <f>AND(#REF!,"AAAAAH1990Q=")</f>
        <v>#REF!</v>
      </c>
      <c r="BR5" t="e">
        <f>AND(#REF!,"AAAAAH1990U=")</f>
        <v>#REF!</v>
      </c>
      <c r="BS5" t="e">
        <f>AND(#REF!,"AAAAAH1990Y=")</f>
        <v>#REF!</v>
      </c>
      <c r="BT5" t="e">
        <f>AND(#REF!,"AAAAAH1990c=")</f>
        <v>#REF!</v>
      </c>
      <c r="BU5" t="e">
        <f>AND(#REF!,"AAAAAH1990g=")</f>
        <v>#REF!</v>
      </c>
      <c r="BV5" t="e">
        <f>AND(#REF!,"AAAAAH1990k=")</f>
        <v>#REF!</v>
      </c>
      <c r="BW5" t="e">
        <f>AND(#REF!,"AAAAAH1990o=")</f>
        <v>#REF!</v>
      </c>
      <c r="BX5" t="e">
        <f>AND(#REF!,"AAAAAH1990s=")</f>
        <v>#REF!</v>
      </c>
      <c r="BY5" t="e">
        <f>AND(#REF!,"AAAAAH1990w=")</f>
        <v>#REF!</v>
      </c>
      <c r="BZ5" t="e">
        <f>AND(#REF!,"AAAAAH19900=")</f>
        <v>#REF!</v>
      </c>
      <c r="CA5" t="e">
        <f>AND(#REF!,"AAAAAH19904=")</f>
        <v>#REF!</v>
      </c>
      <c r="CB5" t="e">
        <f>AND(#REF!,"AAAAAH19908=")</f>
        <v>#REF!</v>
      </c>
      <c r="CC5" t="e">
        <f>AND(#REF!,"AAAAAH1991A=")</f>
        <v>#REF!</v>
      </c>
      <c r="CD5" t="e">
        <f>AND(#REF!,"AAAAAH1991E=")</f>
        <v>#REF!</v>
      </c>
      <c r="CE5" t="e">
        <f>AND(#REF!,"AAAAAH1991I=")</f>
        <v>#REF!</v>
      </c>
      <c r="CF5" t="e">
        <f>IF(#REF!,"AAAAAH1991M=",0)</f>
        <v>#REF!</v>
      </c>
      <c r="CG5" t="e">
        <f>AND(#REF!,"AAAAAH1991Q=")</f>
        <v>#REF!</v>
      </c>
      <c r="CH5" t="e">
        <f>AND(#REF!,"AAAAAH1991U=")</f>
        <v>#REF!</v>
      </c>
      <c r="CI5" t="e">
        <f>AND(#REF!,"AAAAAH1991Y=")</f>
        <v>#REF!</v>
      </c>
      <c r="CJ5" t="e">
        <f>AND(#REF!,"AAAAAH1991c=")</f>
        <v>#REF!</v>
      </c>
      <c r="CK5" t="e">
        <f>AND(#REF!,"AAAAAH1991g=")</f>
        <v>#REF!</v>
      </c>
      <c r="CL5" t="e">
        <f>AND(#REF!,"AAAAAH1991k=")</f>
        <v>#REF!</v>
      </c>
      <c r="CM5" t="e">
        <f>AND(#REF!,"AAAAAH1991o=")</f>
        <v>#REF!</v>
      </c>
      <c r="CN5" t="e">
        <f>AND(#REF!,"AAAAAH1991s=")</f>
        <v>#REF!</v>
      </c>
      <c r="CO5" t="e">
        <f>AND(#REF!,"AAAAAH1991w=")</f>
        <v>#REF!</v>
      </c>
      <c r="CP5" t="e">
        <f>AND(#REF!,"AAAAAH19910=")</f>
        <v>#REF!</v>
      </c>
      <c r="CQ5" t="e">
        <f>AND(#REF!,"AAAAAH19914=")</f>
        <v>#REF!</v>
      </c>
      <c r="CR5" t="e">
        <f>AND(#REF!,"AAAAAH19918=")</f>
        <v>#REF!</v>
      </c>
      <c r="CS5" t="e">
        <f>AND(#REF!,"AAAAAH1992A=")</f>
        <v>#REF!</v>
      </c>
      <c r="CT5" t="e">
        <f>AND(#REF!,"AAAAAH1992E=")</f>
        <v>#REF!</v>
      </c>
      <c r="CU5" t="e">
        <f>AND(#REF!,"AAAAAH1992I=")</f>
        <v>#REF!</v>
      </c>
      <c r="CV5" t="e">
        <f>AND(#REF!,"AAAAAH1992M=")</f>
        <v>#REF!</v>
      </c>
      <c r="CW5" t="e">
        <f>AND(#REF!,"AAAAAH1992Q=")</f>
        <v>#REF!</v>
      </c>
      <c r="CX5" t="e">
        <f>AND(#REF!,"AAAAAH1992U=")</f>
        <v>#REF!</v>
      </c>
      <c r="CY5" t="e">
        <f>AND(#REF!,"AAAAAH1992Y=")</f>
        <v>#REF!</v>
      </c>
      <c r="CZ5" t="e">
        <f>AND(#REF!,"AAAAAH1992c=")</f>
        <v>#REF!</v>
      </c>
      <c r="DA5" t="e">
        <f>AND(#REF!,"AAAAAH1992g=")</f>
        <v>#REF!</v>
      </c>
      <c r="DB5" t="e">
        <f>AND(#REF!,"AAAAAH1992k=")</f>
        <v>#REF!</v>
      </c>
      <c r="DC5" t="e">
        <f>AND(#REF!,"AAAAAH1992o=")</f>
        <v>#REF!</v>
      </c>
      <c r="DD5" t="e">
        <f>AND(#REF!,"AAAAAH1992s=")</f>
        <v>#REF!</v>
      </c>
      <c r="DE5" t="e">
        <f>AND(#REF!,"AAAAAH1992w=")</f>
        <v>#REF!</v>
      </c>
      <c r="DF5" t="e">
        <f>AND(#REF!,"AAAAAH19920=")</f>
        <v>#REF!</v>
      </c>
      <c r="DG5" t="e">
        <f>IF(#REF!,"AAAAAH19924=",0)</f>
        <v>#REF!</v>
      </c>
      <c r="DH5" t="e">
        <f>AND(#REF!,"AAAAAH19928=")</f>
        <v>#REF!</v>
      </c>
      <c r="DI5" t="e">
        <f>AND(#REF!,"AAAAAH1993A=")</f>
        <v>#REF!</v>
      </c>
      <c r="DJ5" t="e">
        <f>AND(#REF!,"AAAAAH1993E=")</f>
        <v>#REF!</v>
      </c>
      <c r="DK5" t="e">
        <f>AND(#REF!,"AAAAAH1993I=")</f>
        <v>#REF!</v>
      </c>
      <c r="DL5" t="e">
        <f>AND(#REF!,"AAAAAH1993M=")</f>
        <v>#REF!</v>
      </c>
      <c r="DM5" t="e">
        <f>AND(#REF!,"AAAAAH1993Q=")</f>
        <v>#REF!</v>
      </c>
      <c r="DN5" t="e">
        <f>AND(#REF!,"AAAAAH1993U=")</f>
        <v>#REF!</v>
      </c>
      <c r="DO5" t="e">
        <f>AND(#REF!,"AAAAAH1993Y=")</f>
        <v>#REF!</v>
      </c>
      <c r="DP5" t="e">
        <f>AND(#REF!,"AAAAAH1993c=")</f>
        <v>#REF!</v>
      </c>
      <c r="DQ5" t="e">
        <f>AND(#REF!,"AAAAAH1993g=")</f>
        <v>#REF!</v>
      </c>
      <c r="DR5" t="e">
        <f>AND(#REF!,"AAAAAH1993k=")</f>
        <v>#REF!</v>
      </c>
      <c r="DS5" t="e">
        <f>AND(#REF!,"AAAAAH1993o=")</f>
        <v>#REF!</v>
      </c>
      <c r="DT5" t="e">
        <f>AND(#REF!,"AAAAAH1993s=")</f>
        <v>#REF!</v>
      </c>
      <c r="DU5" t="e">
        <f>AND(#REF!,"AAAAAH1993w=")</f>
        <v>#REF!</v>
      </c>
      <c r="DV5" t="e">
        <f>AND(#REF!,"AAAAAH19930=")</f>
        <v>#REF!</v>
      </c>
      <c r="DW5" t="e">
        <f>AND(#REF!,"AAAAAH19934=")</f>
        <v>#REF!</v>
      </c>
      <c r="DX5" t="e">
        <f>AND(#REF!,"AAAAAH19938=")</f>
        <v>#REF!</v>
      </c>
      <c r="DY5" t="e">
        <f>AND(#REF!,"AAAAAH1994A=")</f>
        <v>#REF!</v>
      </c>
      <c r="DZ5" t="e">
        <f>AND(#REF!,"AAAAAH1994E=")</f>
        <v>#REF!</v>
      </c>
      <c r="EA5" t="e">
        <f>AND(#REF!,"AAAAAH1994I=")</f>
        <v>#REF!</v>
      </c>
      <c r="EB5" t="e">
        <f>AND(#REF!,"AAAAAH1994M=")</f>
        <v>#REF!</v>
      </c>
      <c r="EC5" t="e">
        <f>AND(#REF!,"AAAAAH1994Q=")</f>
        <v>#REF!</v>
      </c>
      <c r="ED5" t="e">
        <f>AND(#REF!,"AAAAAH1994U=")</f>
        <v>#REF!</v>
      </c>
      <c r="EE5" t="e">
        <f>AND(#REF!,"AAAAAH1994Y=")</f>
        <v>#REF!</v>
      </c>
      <c r="EF5" t="e">
        <f>AND(#REF!,"AAAAAH1994c=")</f>
        <v>#REF!</v>
      </c>
      <c r="EG5" t="e">
        <f>AND(#REF!,"AAAAAH1994g=")</f>
        <v>#REF!</v>
      </c>
      <c r="EH5" t="e">
        <f>IF(#REF!,"AAAAAH1994k=",0)</f>
        <v>#REF!</v>
      </c>
      <c r="EI5" t="e">
        <f>AND(#REF!,"AAAAAH1994o=")</f>
        <v>#REF!</v>
      </c>
      <c r="EJ5" t="e">
        <f>AND(#REF!,"AAAAAH1994s=")</f>
        <v>#REF!</v>
      </c>
      <c r="EK5" t="e">
        <f>AND(#REF!,"AAAAAH1994w=")</f>
        <v>#REF!</v>
      </c>
      <c r="EL5" t="e">
        <f>AND(#REF!,"AAAAAH19940=")</f>
        <v>#REF!</v>
      </c>
      <c r="EM5" t="e">
        <f>AND(#REF!,"AAAAAH19944=")</f>
        <v>#REF!</v>
      </c>
      <c r="EN5" t="e">
        <f>AND(#REF!,"AAAAAH19948=")</f>
        <v>#REF!</v>
      </c>
      <c r="EO5" t="e">
        <f>AND(#REF!,"AAAAAH1995A=")</f>
        <v>#REF!</v>
      </c>
      <c r="EP5" t="e">
        <f>AND(#REF!,"AAAAAH1995E=")</f>
        <v>#REF!</v>
      </c>
      <c r="EQ5" t="e">
        <f>AND(#REF!,"AAAAAH1995I=")</f>
        <v>#REF!</v>
      </c>
      <c r="ER5" t="e">
        <f>AND(#REF!,"AAAAAH1995M=")</f>
        <v>#REF!</v>
      </c>
      <c r="ES5" t="e">
        <f>AND(#REF!,"AAAAAH1995Q=")</f>
        <v>#REF!</v>
      </c>
      <c r="ET5" t="e">
        <f>AND(#REF!,"AAAAAH1995U=")</f>
        <v>#REF!</v>
      </c>
      <c r="EU5" t="e">
        <f>AND(#REF!,"AAAAAH1995Y=")</f>
        <v>#REF!</v>
      </c>
      <c r="EV5" t="e">
        <f>AND(#REF!,"AAAAAH1995c=")</f>
        <v>#REF!</v>
      </c>
      <c r="EW5" t="e">
        <f>AND(#REF!,"AAAAAH1995g=")</f>
        <v>#REF!</v>
      </c>
      <c r="EX5" t="e">
        <f>AND(#REF!,"AAAAAH1995k=")</f>
        <v>#REF!</v>
      </c>
      <c r="EY5" t="e">
        <f>AND(#REF!,"AAAAAH1995o=")</f>
        <v>#REF!</v>
      </c>
      <c r="EZ5" t="e">
        <f>AND(#REF!,"AAAAAH1995s=")</f>
        <v>#REF!</v>
      </c>
      <c r="FA5" t="e">
        <f>AND(#REF!,"AAAAAH1995w=")</f>
        <v>#REF!</v>
      </c>
      <c r="FB5" t="e">
        <f>AND(#REF!,"AAAAAH19950=")</f>
        <v>#REF!</v>
      </c>
      <c r="FC5" t="e">
        <f>AND(#REF!,"AAAAAH19954=")</f>
        <v>#REF!</v>
      </c>
      <c r="FD5" t="e">
        <f>AND(#REF!,"AAAAAH19958=")</f>
        <v>#REF!</v>
      </c>
      <c r="FE5" t="e">
        <f>AND(#REF!,"AAAAAH1996A=")</f>
        <v>#REF!</v>
      </c>
      <c r="FF5" t="e">
        <f>AND(#REF!,"AAAAAH1996E=")</f>
        <v>#REF!</v>
      </c>
      <c r="FG5" t="e">
        <f>AND(#REF!,"AAAAAH1996I=")</f>
        <v>#REF!</v>
      </c>
      <c r="FH5" t="e">
        <f>AND(#REF!,"AAAAAH1996M=")</f>
        <v>#REF!</v>
      </c>
      <c r="FI5" t="e">
        <f>IF(#REF!,"AAAAAH1996Q=",0)</f>
        <v>#REF!</v>
      </c>
      <c r="FJ5" t="e">
        <f>AND(#REF!,"AAAAAH1996U=")</f>
        <v>#REF!</v>
      </c>
      <c r="FK5" t="e">
        <f>AND(#REF!,"AAAAAH1996Y=")</f>
        <v>#REF!</v>
      </c>
      <c r="FL5" t="e">
        <f>AND(#REF!,"AAAAAH1996c=")</f>
        <v>#REF!</v>
      </c>
      <c r="FM5" t="e">
        <f>AND(#REF!,"AAAAAH1996g=")</f>
        <v>#REF!</v>
      </c>
      <c r="FN5" t="e">
        <f>AND(#REF!,"AAAAAH1996k=")</f>
        <v>#REF!</v>
      </c>
      <c r="FO5" t="e">
        <f>AND(#REF!,"AAAAAH1996o=")</f>
        <v>#REF!</v>
      </c>
      <c r="FP5" t="e">
        <f>AND(#REF!,"AAAAAH1996s=")</f>
        <v>#REF!</v>
      </c>
      <c r="FQ5" t="e">
        <f>AND(#REF!,"AAAAAH1996w=")</f>
        <v>#REF!</v>
      </c>
      <c r="FR5" t="e">
        <f>AND(#REF!,"AAAAAH19960=")</f>
        <v>#REF!</v>
      </c>
      <c r="FS5" t="e">
        <f>AND(#REF!,"AAAAAH19964=")</f>
        <v>#REF!</v>
      </c>
      <c r="FT5" t="e">
        <f>AND(#REF!,"AAAAAH19968=")</f>
        <v>#REF!</v>
      </c>
      <c r="FU5" t="e">
        <f>AND(#REF!,"AAAAAH1997A=")</f>
        <v>#REF!</v>
      </c>
      <c r="FV5" t="e">
        <f>AND(#REF!,"AAAAAH1997E=")</f>
        <v>#REF!</v>
      </c>
      <c r="FW5" t="e">
        <f>AND(#REF!,"AAAAAH1997I=")</f>
        <v>#REF!</v>
      </c>
      <c r="FX5" t="e">
        <f>AND(#REF!,"AAAAAH1997M=")</f>
        <v>#REF!</v>
      </c>
      <c r="FY5" t="e">
        <f>AND(#REF!,"AAAAAH1997Q=")</f>
        <v>#REF!</v>
      </c>
      <c r="FZ5" t="e">
        <f>AND(#REF!,"AAAAAH1997U=")</f>
        <v>#REF!</v>
      </c>
      <c r="GA5" t="e">
        <f>AND(#REF!,"AAAAAH1997Y=")</f>
        <v>#REF!</v>
      </c>
      <c r="GB5" t="e">
        <f>AND(#REF!,"AAAAAH1997c=")</f>
        <v>#REF!</v>
      </c>
      <c r="GC5" t="e">
        <f>AND(#REF!,"AAAAAH1997g=")</f>
        <v>#REF!</v>
      </c>
      <c r="GD5" t="e">
        <f>AND(#REF!,"AAAAAH1997k=")</f>
        <v>#REF!</v>
      </c>
      <c r="GE5" t="e">
        <f>AND(#REF!,"AAAAAH1997o=")</f>
        <v>#REF!</v>
      </c>
      <c r="GF5" t="e">
        <f>AND(#REF!,"AAAAAH1997s=")</f>
        <v>#REF!</v>
      </c>
      <c r="GG5" t="e">
        <f>AND(#REF!,"AAAAAH1997w=")</f>
        <v>#REF!</v>
      </c>
      <c r="GH5" t="e">
        <f>AND(#REF!,"AAAAAH19970=")</f>
        <v>#REF!</v>
      </c>
      <c r="GI5" t="e">
        <f>AND(#REF!,"AAAAAH19974=")</f>
        <v>#REF!</v>
      </c>
      <c r="GJ5" t="e">
        <f>IF(#REF!,"AAAAAH19978=",0)</f>
        <v>#REF!</v>
      </c>
      <c r="GK5" t="e">
        <f>AND(#REF!,"AAAAAH1998A=")</f>
        <v>#REF!</v>
      </c>
      <c r="GL5" t="e">
        <f>AND(#REF!,"AAAAAH1998E=")</f>
        <v>#REF!</v>
      </c>
      <c r="GM5" t="e">
        <f>AND(#REF!,"AAAAAH1998I=")</f>
        <v>#REF!</v>
      </c>
      <c r="GN5" t="e">
        <f>AND(#REF!,"AAAAAH1998M=")</f>
        <v>#REF!</v>
      </c>
      <c r="GO5" t="e">
        <f>AND(#REF!,"AAAAAH1998Q=")</f>
        <v>#REF!</v>
      </c>
      <c r="GP5" t="e">
        <f>AND(#REF!,"AAAAAH1998U=")</f>
        <v>#REF!</v>
      </c>
      <c r="GQ5" t="e">
        <f>AND(#REF!,"AAAAAH1998Y=")</f>
        <v>#REF!</v>
      </c>
      <c r="GR5" t="e">
        <f>AND(#REF!,"AAAAAH1998c=")</f>
        <v>#REF!</v>
      </c>
      <c r="GS5" t="e">
        <f>AND(#REF!,"AAAAAH1998g=")</f>
        <v>#REF!</v>
      </c>
      <c r="GT5" t="e">
        <f>AND(#REF!,"AAAAAH1998k=")</f>
        <v>#REF!</v>
      </c>
      <c r="GU5" t="e">
        <f>AND(#REF!,"AAAAAH1998o=")</f>
        <v>#REF!</v>
      </c>
      <c r="GV5" t="e">
        <f>AND(#REF!,"AAAAAH1998s=")</f>
        <v>#REF!</v>
      </c>
      <c r="GW5" t="e">
        <f>AND(#REF!,"AAAAAH1998w=")</f>
        <v>#REF!</v>
      </c>
      <c r="GX5" t="e">
        <f>AND(#REF!,"AAAAAH19980=")</f>
        <v>#REF!</v>
      </c>
      <c r="GY5" t="e">
        <f>AND(#REF!,"AAAAAH19984=")</f>
        <v>#REF!</v>
      </c>
      <c r="GZ5" t="e">
        <f>AND(#REF!,"AAAAAH19988=")</f>
        <v>#REF!</v>
      </c>
      <c r="HA5" t="e">
        <f>AND(#REF!,"AAAAAH1999A=")</f>
        <v>#REF!</v>
      </c>
      <c r="HB5" t="e">
        <f>AND(#REF!,"AAAAAH1999E=")</f>
        <v>#REF!</v>
      </c>
      <c r="HC5" t="e">
        <f>AND(#REF!,"AAAAAH1999I=")</f>
        <v>#REF!</v>
      </c>
      <c r="HD5" t="e">
        <f>AND(#REF!,"AAAAAH1999M=")</f>
        <v>#REF!</v>
      </c>
      <c r="HE5" t="e">
        <f>AND(#REF!,"AAAAAH1999Q=")</f>
        <v>#REF!</v>
      </c>
      <c r="HF5" t="e">
        <f>AND(#REF!,"AAAAAH1999U=")</f>
        <v>#REF!</v>
      </c>
      <c r="HG5" t="e">
        <f>AND(#REF!,"AAAAAH1999Y=")</f>
        <v>#REF!</v>
      </c>
      <c r="HH5" t="e">
        <f>AND(#REF!,"AAAAAH1999c=")</f>
        <v>#REF!</v>
      </c>
      <c r="HI5" t="e">
        <f>AND(#REF!,"AAAAAH1999g=")</f>
        <v>#REF!</v>
      </c>
      <c r="HJ5" t="e">
        <f>AND(#REF!,"AAAAAH1999k=")</f>
        <v>#REF!</v>
      </c>
      <c r="HK5" t="e">
        <f>IF(#REF!,"AAAAAH1999o=",0)</f>
        <v>#REF!</v>
      </c>
      <c r="HL5" t="e">
        <f>AND(#REF!,"AAAAAH1999s=")</f>
        <v>#REF!</v>
      </c>
      <c r="HM5" t="e">
        <f>AND(#REF!,"AAAAAH1999w=")</f>
        <v>#REF!</v>
      </c>
      <c r="HN5" t="e">
        <f>AND(#REF!,"AAAAAH19990=")</f>
        <v>#REF!</v>
      </c>
      <c r="HO5" t="e">
        <f>AND(#REF!,"AAAAAH19994=")</f>
        <v>#REF!</v>
      </c>
      <c r="HP5" t="e">
        <f>AND(#REF!,"AAAAAH19998=")</f>
        <v>#REF!</v>
      </c>
      <c r="HQ5" t="e">
        <f>AND(#REF!,"AAAAAH199+A=")</f>
        <v>#REF!</v>
      </c>
      <c r="HR5" t="e">
        <f>AND(#REF!,"AAAAAH199+E=")</f>
        <v>#REF!</v>
      </c>
      <c r="HS5" t="e">
        <f>AND(#REF!,"AAAAAH199+I=")</f>
        <v>#REF!</v>
      </c>
      <c r="HT5" t="e">
        <f>AND(#REF!,"AAAAAH199+M=")</f>
        <v>#REF!</v>
      </c>
      <c r="HU5" t="e">
        <f>AND(#REF!,"AAAAAH199+Q=")</f>
        <v>#REF!</v>
      </c>
      <c r="HV5" t="e">
        <f>AND(#REF!,"AAAAAH199+U=")</f>
        <v>#REF!</v>
      </c>
      <c r="HW5" t="e">
        <f>AND(#REF!,"AAAAAH199+Y=")</f>
        <v>#REF!</v>
      </c>
      <c r="HX5" t="e">
        <f>AND(#REF!,"AAAAAH199+c=")</f>
        <v>#REF!</v>
      </c>
      <c r="HY5" t="e">
        <f>AND(#REF!,"AAAAAH199+g=")</f>
        <v>#REF!</v>
      </c>
      <c r="HZ5" t="e">
        <f>AND(#REF!,"AAAAAH199+k=")</f>
        <v>#REF!</v>
      </c>
      <c r="IA5" t="e">
        <f>AND(#REF!,"AAAAAH199+o=")</f>
        <v>#REF!</v>
      </c>
      <c r="IB5" t="e">
        <f>AND(#REF!,"AAAAAH199+s=")</f>
        <v>#REF!</v>
      </c>
      <c r="IC5" t="e">
        <f>AND(#REF!,"AAAAAH199+w=")</f>
        <v>#REF!</v>
      </c>
      <c r="ID5" t="e">
        <f>AND(#REF!,"AAAAAH199+0=")</f>
        <v>#REF!</v>
      </c>
      <c r="IE5" t="e">
        <f>AND(#REF!,"AAAAAH199+4=")</f>
        <v>#REF!</v>
      </c>
      <c r="IF5" t="e">
        <f>AND(#REF!,"AAAAAH199+8=")</f>
        <v>#REF!</v>
      </c>
      <c r="IG5" t="e">
        <f>AND(#REF!,"AAAAAH199/A=")</f>
        <v>#REF!</v>
      </c>
      <c r="IH5" t="e">
        <f>AND(#REF!,"AAAAAH199/E=")</f>
        <v>#REF!</v>
      </c>
      <c r="II5" t="e">
        <f>AND(#REF!,"AAAAAH199/I=")</f>
        <v>#REF!</v>
      </c>
      <c r="IJ5" t="e">
        <f>AND(#REF!,"AAAAAH199/M=")</f>
        <v>#REF!</v>
      </c>
      <c r="IK5" t="e">
        <f>AND(#REF!,"AAAAAH199/Q=")</f>
        <v>#REF!</v>
      </c>
      <c r="IL5" t="e">
        <f>IF(#REF!,"AAAAAH199/U=",0)</f>
        <v>#REF!</v>
      </c>
      <c r="IM5" t="e">
        <f>AND(#REF!,"AAAAAH199/Y=")</f>
        <v>#REF!</v>
      </c>
      <c r="IN5" t="e">
        <f>AND(#REF!,"AAAAAH199/c=")</f>
        <v>#REF!</v>
      </c>
      <c r="IO5" t="e">
        <f>AND(#REF!,"AAAAAH199/g=")</f>
        <v>#REF!</v>
      </c>
      <c r="IP5" t="e">
        <f>AND(#REF!,"AAAAAH199/k=")</f>
        <v>#REF!</v>
      </c>
      <c r="IQ5" t="e">
        <f>AND(#REF!,"AAAAAH199/o=")</f>
        <v>#REF!</v>
      </c>
      <c r="IR5" t="e">
        <f>AND(#REF!,"AAAAAH199/s=")</f>
        <v>#REF!</v>
      </c>
      <c r="IS5" t="e">
        <f>AND(#REF!,"AAAAAH199/w=")</f>
        <v>#REF!</v>
      </c>
      <c r="IT5" t="e">
        <f>AND(#REF!,"AAAAAH199/0=")</f>
        <v>#REF!</v>
      </c>
      <c r="IU5" t="e">
        <f>AND(#REF!,"AAAAAH199/4=")</f>
        <v>#REF!</v>
      </c>
      <c r="IV5" t="e">
        <f>AND(#REF!,"AAAAAH199/8=")</f>
        <v>#REF!</v>
      </c>
    </row>
    <row r="6" spans="1:256" x14ac:dyDescent="0.2">
      <c r="A6" t="e">
        <f>AND(#REF!,"AAAAAH/XjwA=")</f>
        <v>#REF!</v>
      </c>
      <c r="B6" t="e">
        <f>AND(#REF!,"AAAAAH/XjwE=")</f>
        <v>#REF!</v>
      </c>
      <c r="C6" t="e">
        <f>AND(#REF!,"AAAAAH/XjwI=")</f>
        <v>#REF!</v>
      </c>
      <c r="D6" t="e">
        <f>AND(#REF!,"AAAAAH/XjwM=")</f>
        <v>#REF!</v>
      </c>
      <c r="E6" t="e">
        <f>AND(#REF!,"AAAAAH/XjwQ=")</f>
        <v>#REF!</v>
      </c>
      <c r="F6" t="e">
        <f>AND(#REF!,"AAAAAH/XjwU=")</f>
        <v>#REF!</v>
      </c>
      <c r="G6" t="e">
        <f>AND(#REF!,"AAAAAH/XjwY=")</f>
        <v>#REF!</v>
      </c>
      <c r="H6" t="e">
        <f>AND(#REF!,"AAAAAH/Xjwc=")</f>
        <v>#REF!</v>
      </c>
      <c r="I6" t="e">
        <f>AND(#REF!,"AAAAAH/Xjwg=")</f>
        <v>#REF!</v>
      </c>
      <c r="J6" t="e">
        <f>AND(#REF!,"AAAAAH/Xjwk=")</f>
        <v>#REF!</v>
      </c>
      <c r="K6" t="e">
        <f>AND(#REF!,"AAAAAH/Xjwo=")</f>
        <v>#REF!</v>
      </c>
      <c r="L6" t="e">
        <f>AND(#REF!,"AAAAAH/Xjws=")</f>
        <v>#REF!</v>
      </c>
      <c r="M6" t="e">
        <f>AND(#REF!,"AAAAAH/Xjww=")</f>
        <v>#REF!</v>
      </c>
      <c r="N6" t="e">
        <f>AND(#REF!,"AAAAAH/Xjw0=")</f>
        <v>#REF!</v>
      </c>
      <c r="O6" t="e">
        <f>AND(#REF!,"AAAAAH/Xjw4=")</f>
        <v>#REF!</v>
      </c>
      <c r="P6" t="e">
        <f>AND(#REF!,"AAAAAH/Xjw8=")</f>
        <v>#REF!</v>
      </c>
      <c r="Q6" t="e">
        <f>IF(#REF!,"AAAAAH/XjxA=",0)</f>
        <v>#REF!</v>
      </c>
      <c r="R6" t="e">
        <f>AND(#REF!,"AAAAAH/XjxE=")</f>
        <v>#REF!</v>
      </c>
      <c r="S6" t="e">
        <f>AND(#REF!,"AAAAAH/XjxI=")</f>
        <v>#REF!</v>
      </c>
      <c r="T6" t="e">
        <f>AND(#REF!,"AAAAAH/XjxM=")</f>
        <v>#REF!</v>
      </c>
      <c r="U6" t="e">
        <f>AND(#REF!,"AAAAAH/XjxQ=")</f>
        <v>#REF!</v>
      </c>
      <c r="V6" t="e">
        <f>AND(#REF!,"AAAAAH/XjxU=")</f>
        <v>#REF!</v>
      </c>
      <c r="W6" t="e">
        <f>AND(#REF!,"AAAAAH/XjxY=")</f>
        <v>#REF!</v>
      </c>
      <c r="X6" t="e">
        <f>AND(#REF!,"AAAAAH/Xjxc=")</f>
        <v>#REF!</v>
      </c>
      <c r="Y6" t="e">
        <f>AND(#REF!,"AAAAAH/Xjxg=")</f>
        <v>#REF!</v>
      </c>
      <c r="Z6" t="e">
        <f>AND(#REF!,"AAAAAH/Xjxk=")</f>
        <v>#REF!</v>
      </c>
      <c r="AA6" t="e">
        <f>AND(#REF!,"AAAAAH/Xjxo=")</f>
        <v>#REF!</v>
      </c>
      <c r="AB6" t="e">
        <f>AND(#REF!,"AAAAAH/Xjxs=")</f>
        <v>#REF!</v>
      </c>
      <c r="AC6" t="e">
        <f>AND(#REF!,"AAAAAH/Xjxw=")</f>
        <v>#REF!</v>
      </c>
      <c r="AD6" t="e">
        <f>AND(#REF!,"AAAAAH/Xjx0=")</f>
        <v>#REF!</v>
      </c>
      <c r="AE6" t="e">
        <f>AND(#REF!,"AAAAAH/Xjx4=")</f>
        <v>#REF!</v>
      </c>
      <c r="AF6" t="e">
        <f>AND(#REF!,"AAAAAH/Xjx8=")</f>
        <v>#REF!</v>
      </c>
      <c r="AG6" t="e">
        <f>AND(#REF!,"AAAAAH/XjyA=")</f>
        <v>#REF!</v>
      </c>
      <c r="AH6" t="e">
        <f>AND(#REF!,"AAAAAH/XjyE=")</f>
        <v>#REF!</v>
      </c>
      <c r="AI6" t="e">
        <f>AND(#REF!,"AAAAAH/XjyI=")</f>
        <v>#REF!</v>
      </c>
      <c r="AJ6" t="e">
        <f>AND(#REF!,"AAAAAH/XjyM=")</f>
        <v>#REF!</v>
      </c>
      <c r="AK6" t="e">
        <f>AND(#REF!,"AAAAAH/XjyQ=")</f>
        <v>#REF!</v>
      </c>
      <c r="AL6" t="e">
        <f>AND(#REF!,"AAAAAH/XjyU=")</f>
        <v>#REF!</v>
      </c>
      <c r="AM6" t="e">
        <f>AND(#REF!,"AAAAAH/XjyY=")</f>
        <v>#REF!</v>
      </c>
      <c r="AN6" t="e">
        <f>AND(#REF!,"AAAAAH/Xjyc=")</f>
        <v>#REF!</v>
      </c>
      <c r="AO6" t="e">
        <f>AND(#REF!,"AAAAAH/Xjyg=")</f>
        <v>#REF!</v>
      </c>
      <c r="AP6" t="e">
        <f>AND(#REF!,"AAAAAH/Xjyk=")</f>
        <v>#REF!</v>
      </c>
      <c r="AQ6" t="e">
        <f>AND(#REF!,"AAAAAH/Xjyo=")</f>
        <v>#REF!</v>
      </c>
      <c r="AR6" t="e">
        <f>IF(#REF!,"AAAAAH/Xjys=",0)</f>
        <v>#REF!</v>
      </c>
      <c r="AS6" t="e">
        <f>AND(#REF!,"AAAAAH/Xjyw=")</f>
        <v>#REF!</v>
      </c>
      <c r="AT6" t="e">
        <f>AND(#REF!,"AAAAAH/Xjy0=")</f>
        <v>#REF!</v>
      </c>
      <c r="AU6" t="e">
        <f>AND(#REF!,"AAAAAH/Xjy4=")</f>
        <v>#REF!</v>
      </c>
      <c r="AV6" t="e">
        <f>AND(#REF!,"AAAAAH/Xjy8=")</f>
        <v>#REF!</v>
      </c>
      <c r="AW6" t="e">
        <f>AND(#REF!,"AAAAAH/XjzA=")</f>
        <v>#REF!</v>
      </c>
      <c r="AX6" t="e">
        <f>AND(#REF!,"AAAAAH/XjzE=")</f>
        <v>#REF!</v>
      </c>
      <c r="AY6" t="e">
        <f>AND(#REF!,"AAAAAH/XjzI=")</f>
        <v>#REF!</v>
      </c>
      <c r="AZ6" t="e">
        <f>AND(#REF!,"AAAAAH/XjzM=")</f>
        <v>#REF!</v>
      </c>
      <c r="BA6" t="e">
        <f>AND(#REF!,"AAAAAH/XjzQ=")</f>
        <v>#REF!</v>
      </c>
      <c r="BB6" t="e">
        <f>AND(#REF!,"AAAAAH/XjzU=")</f>
        <v>#REF!</v>
      </c>
      <c r="BC6" t="e">
        <f>AND(#REF!,"AAAAAH/XjzY=")</f>
        <v>#REF!</v>
      </c>
      <c r="BD6" t="e">
        <f>AND(#REF!,"AAAAAH/Xjzc=")</f>
        <v>#REF!</v>
      </c>
      <c r="BE6" t="e">
        <f>AND(#REF!,"AAAAAH/Xjzg=")</f>
        <v>#REF!</v>
      </c>
      <c r="BF6" t="e">
        <f>AND(#REF!,"AAAAAH/Xjzk=")</f>
        <v>#REF!</v>
      </c>
      <c r="BG6" t="e">
        <f>AND(#REF!,"AAAAAH/Xjzo=")</f>
        <v>#REF!</v>
      </c>
      <c r="BH6" t="e">
        <f>AND(#REF!,"AAAAAH/Xjzs=")</f>
        <v>#REF!</v>
      </c>
      <c r="BI6" t="e">
        <f>AND(#REF!,"AAAAAH/Xjzw=")</f>
        <v>#REF!</v>
      </c>
      <c r="BJ6" t="e">
        <f>AND(#REF!,"AAAAAH/Xjz0=")</f>
        <v>#REF!</v>
      </c>
      <c r="BK6" t="e">
        <f>AND(#REF!,"AAAAAH/Xjz4=")</f>
        <v>#REF!</v>
      </c>
      <c r="BL6" t="e">
        <f>AND(#REF!,"AAAAAH/Xjz8=")</f>
        <v>#REF!</v>
      </c>
      <c r="BM6" t="e">
        <f>AND(#REF!,"AAAAAH/Xj0A=")</f>
        <v>#REF!</v>
      </c>
      <c r="BN6" t="e">
        <f>AND(#REF!,"AAAAAH/Xj0E=")</f>
        <v>#REF!</v>
      </c>
      <c r="BO6" t="e">
        <f>AND(#REF!,"AAAAAH/Xj0I=")</f>
        <v>#REF!</v>
      </c>
      <c r="BP6" t="e">
        <f>AND(#REF!,"AAAAAH/Xj0M=")</f>
        <v>#REF!</v>
      </c>
      <c r="BQ6" t="e">
        <f>AND(#REF!,"AAAAAH/Xj0Q=")</f>
        <v>#REF!</v>
      </c>
      <c r="BR6" t="e">
        <f>AND(#REF!,"AAAAAH/Xj0U=")</f>
        <v>#REF!</v>
      </c>
      <c r="BS6" t="e">
        <f>IF(#REF!,"AAAAAH/Xj0Y=",0)</f>
        <v>#REF!</v>
      </c>
      <c r="BT6" t="e">
        <f>AND(#REF!,"AAAAAH/Xj0c=")</f>
        <v>#REF!</v>
      </c>
      <c r="BU6" t="e">
        <f>AND(#REF!,"AAAAAH/Xj0g=")</f>
        <v>#REF!</v>
      </c>
      <c r="BV6" t="e">
        <f>AND(#REF!,"AAAAAH/Xj0k=")</f>
        <v>#REF!</v>
      </c>
      <c r="BW6" t="e">
        <f>AND(#REF!,"AAAAAH/Xj0o=")</f>
        <v>#REF!</v>
      </c>
      <c r="BX6" t="e">
        <f>AND(#REF!,"AAAAAH/Xj0s=")</f>
        <v>#REF!</v>
      </c>
      <c r="BY6" t="e">
        <f>AND(#REF!,"AAAAAH/Xj0w=")</f>
        <v>#REF!</v>
      </c>
      <c r="BZ6" t="e">
        <f>AND(#REF!,"AAAAAH/Xj00=")</f>
        <v>#REF!</v>
      </c>
      <c r="CA6" t="e">
        <f>AND(#REF!,"AAAAAH/Xj04=")</f>
        <v>#REF!</v>
      </c>
      <c r="CB6" t="e">
        <f>AND(#REF!,"AAAAAH/Xj08=")</f>
        <v>#REF!</v>
      </c>
      <c r="CC6" t="e">
        <f>AND(#REF!,"AAAAAH/Xj1A=")</f>
        <v>#REF!</v>
      </c>
      <c r="CD6" t="e">
        <f>AND(#REF!,"AAAAAH/Xj1E=")</f>
        <v>#REF!</v>
      </c>
      <c r="CE6" t="e">
        <f>AND(#REF!,"AAAAAH/Xj1I=")</f>
        <v>#REF!</v>
      </c>
      <c r="CF6" t="e">
        <f>AND(#REF!,"AAAAAH/Xj1M=")</f>
        <v>#REF!</v>
      </c>
      <c r="CG6" t="e">
        <f>AND(#REF!,"AAAAAH/Xj1Q=")</f>
        <v>#REF!</v>
      </c>
      <c r="CH6" t="e">
        <f>AND(#REF!,"AAAAAH/Xj1U=")</f>
        <v>#REF!</v>
      </c>
      <c r="CI6" t="e">
        <f>AND(#REF!,"AAAAAH/Xj1Y=")</f>
        <v>#REF!</v>
      </c>
      <c r="CJ6" t="e">
        <f>AND(#REF!,"AAAAAH/Xj1c=")</f>
        <v>#REF!</v>
      </c>
      <c r="CK6" t="e">
        <f>AND(#REF!,"AAAAAH/Xj1g=")</f>
        <v>#REF!</v>
      </c>
      <c r="CL6" t="e">
        <f>AND(#REF!,"AAAAAH/Xj1k=")</f>
        <v>#REF!</v>
      </c>
      <c r="CM6" t="e">
        <f>AND(#REF!,"AAAAAH/Xj1o=")</f>
        <v>#REF!</v>
      </c>
      <c r="CN6" t="e">
        <f>AND(#REF!,"AAAAAH/Xj1s=")</f>
        <v>#REF!</v>
      </c>
      <c r="CO6" t="e">
        <f>AND(#REF!,"AAAAAH/Xj1w=")</f>
        <v>#REF!</v>
      </c>
      <c r="CP6" t="e">
        <f>AND(#REF!,"AAAAAH/Xj10=")</f>
        <v>#REF!</v>
      </c>
      <c r="CQ6" t="e">
        <f>AND(#REF!,"AAAAAH/Xj14=")</f>
        <v>#REF!</v>
      </c>
      <c r="CR6" t="e">
        <f>AND(#REF!,"AAAAAH/Xj18=")</f>
        <v>#REF!</v>
      </c>
      <c r="CS6" t="e">
        <f>AND(#REF!,"AAAAAH/Xj2A=")</f>
        <v>#REF!</v>
      </c>
      <c r="CT6" t="e">
        <f>IF(#REF!,"AAAAAH/Xj2E=",0)</f>
        <v>#REF!</v>
      </c>
      <c r="CU6" t="e">
        <f>IF(#REF!,"AAAAAH/Xj2I=",0)</f>
        <v>#REF!</v>
      </c>
      <c r="CV6" t="e">
        <f>IF(#REF!,"AAAAAH/Xj2M=",0)</f>
        <v>#REF!</v>
      </c>
      <c r="CW6" t="e">
        <f>IF(#REF!,"AAAAAH/Xj2Q=",0)</f>
        <v>#REF!</v>
      </c>
      <c r="CX6" t="e">
        <f>IF(#REF!,"AAAAAH/Xj2U=",0)</f>
        <v>#REF!</v>
      </c>
      <c r="CY6" t="e">
        <f>IF(#REF!,"AAAAAH/Xj2Y=",0)</f>
        <v>#REF!</v>
      </c>
      <c r="CZ6" t="e">
        <f>IF(#REF!,"AAAAAH/Xj2c=",0)</f>
        <v>#REF!</v>
      </c>
      <c r="DA6" t="e">
        <f>IF(#REF!,"AAAAAH/Xj2g=",0)</f>
        <v>#REF!</v>
      </c>
      <c r="DB6" t="e">
        <f>IF(#REF!,"AAAAAH/Xj2k=",0)</f>
        <v>#REF!</v>
      </c>
      <c r="DC6" t="e">
        <f>IF(#REF!,"AAAAAH/Xj2o=",0)</f>
        <v>#REF!</v>
      </c>
      <c r="DD6" t="e">
        <f>IF(#REF!,"AAAAAH/Xj2s=",0)</f>
        <v>#REF!</v>
      </c>
      <c r="DE6" t="e">
        <f>IF(#REF!,"AAAAAH/Xj2w=",0)</f>
        <v>#REF!</v>
      </c>
      <c r="DF6" t="e">
        <f>IF(#REF!,"AAAAAH/Xj20=",0)</f>
        <v>#REF!</v>
      </c>
      <c r="DG6" t="e">
        <f>IF(#REF!,"AAAAAH/Xj24=",0)</f>
        <v>#REF!</v>
      </c>
      <c r="DH6" t="e">
        <f>IF(#REF!,"AAAAAH/Xj28=",0)</f>
        <v>#REF!</v>
      </c>
      <c r="DI6" t="e">
        <f>IF(#REF!,"AAAAAH/Xj3A=",0)</f>
        <v>#REF!</v>
      </c>
      <c r="DJ6" t="e">
        <f>IF(#REF!,"AAAAAH/Xj3E=",0)</f>
        <v>#REF!</v>
      </c>
      <c r="DK6" t="e">
        <f>IF(#REF!,"AAAAAH/Xj3I=",0)</f>
        <v>#REF!</v>
      </c>
      <c r="DL6" t="e">
        <f>IF(#REF!,"AAAAAH/Xj3M=",0)</f>
        <v>#REF!</v>
      </c>
      <c r="DM6" t="e">
        <f>IF(#REF!,"AAAAAH/Xj3Q=",0)</f>
        <v>#REF!</v>
      </c>
      <c r="DN6" t="e">
        <f>IF(#REF!,"AAAAAH/Xj3U=",0)</f>
        <v>#REF!</v>
      </c>
      <c r="DO6" t="e">
        <f>IF(#REF!,"AAAAAH/Xj3Y=",0)</f>
        <v>#REF!</v>
      </c>
      <c r="DP6" t="e">
        <f>IF(#REF!,"AAAAAH/Xj3c=",0)</f>
        <v>#REF!</v>
      </c>
      <c r="DQ6" t="e">
        <f>IF(#REF!,"AAAAAH/Xj3g=",0)</f>
        <v>#REF!</v>
      </c>
      <c r="DR6" t="e">
        <f>IF(#REF!,"AAAAAH/Xj3k=",0)</f>
        <v>#REF!</v>
      </c>
      <c r="DS6" t="e">
        <f>IF(#REF!,"AAAAAH/Xj3o=",0)</f>
        <v>#REF!</v>
      </c>
      <c r="DT6" t="e">
        <f>IF(#REF!,"AAAAAH/Xj3s=",0)</f>
        <v>#REF!</v>
      </c>
      <c r="DU6" t="e">
        <f>AND(#REF!,"AAAAAH/Xj3w=")</f>
        <v>#REF!</v>
      </c>
      <c r="DV6" t="e">
        <f>AND(#REF!,"AAAAAH/Xj30=")</f>
        <v>#REF!</v>
      </c>
      <c r="DW6" t="e">
        <f>AND(#REF!,"AAAAAH/Xj34=")</f>
        <v>#REF!</v>
      </c>
      <c r="DX6" t="e">
        <f>AND(#REF!,"AAAAAH/Xj38=")</f>
        <v>#REF!</v>
      </c>
      <c r="DY6" t="e">
        <f>AND(#REF!,"AAAAAH/Xj4A=")</f>
        <v>#REF!</v>
      </c>
      <c r="DZ6" t="e">
        <f>AND(#REF!,"AAAAAH/Xj4E=")</f>
        <v>#REF!</v>
      </c>
      <c r="EA6" t="e">
        <f>AND(#REF!,"AAAAAH/Xj4I=")</f>
        <v>#REF!</v>
      </c>
      <c r="EB6" t="e">
        <f>AND(#REF!,"AAAAAH/Xj4M=")</f>
        <v>#REF!</v>
      </c>
      <c r="EC6" t="e">
        <f>AND(#REF!,"AAAAAH/Xj4Q=")</f>
        <v>#REF!</v>
      </c>
      <c r="ED6" t="e">
        <f>AND(#REF!,"AAAAAH/Xj4U=")</f>
        <v>#REF!</v>
      </c>
      <c r="EE6" t="e">
        <f>AND(#REF!,"AAAAAH/Xj4Y=")</f>
        <v>#REF!</v>
      </c>
      <c r="EF6" t="e">
        <f>AND(#REF!,"AAAAAH/Xj4c=")</f>
        <v>#REF!</v>
      </c>
      <c r="EG6" t="e">
        <f>AND(#REF!,"AAAAAH/Xj4g=")</f>
        <v>#REF!</v>
      </c>
      <c r="EH6" t="e">
        <f>AND(#REF!,"AAAAAH/Xj4k=")</f>
        <v>#REF!</v>
      </c>
      <c r="EI6" t="e">
        <f>AND(#REF!,"AAAAAH/Xj4o=")</f>
        <v>#REF!</v>
      </c>
      <c r="EJ6" t="e">
        <f>AND(#REF!,"AAAAAH/Xj4s=")</f>
        <v>#REF!</v>
      </c>
      <c r="EK6" t="e">
        <f>AND(#REF!,"AAAAAH/Xj4w=")</f>
        <v>#REF!</v>
      </c>
      <c r="EL6" t="e">
        <f>AND(#REF!,"AAAAAH/Xj40=")</f>
        <v>#REF!</v>
      </c>
      <c r="EM6" t="e">
        <f>AND(#REF!,"AAAAAH/Xj44=")</f>
        <v>#REF!</v>
      </c>
      <c r="EN6" t="e">
        <f>AND(#REF!,"AAAAAH/Xj48=")</f>
        <v>#REF!</v>
      </c>
      <c r="EO6" t="e">
        <f>AND(#REF!,"AAAAAH/Xj5A=")</f>
        <v>#REF!</v>
      </c>
      <c r="EP6" t="e">
        <f>AND(#REF!,"AAAAAH/Xj5E=")</f>
        <v>#REF!</v>
      </c>
      <c r="EQ6" t="e">
        <f>AND(#REF!,"AAAAAH/Xj5I=")</f>
        <v>#REF!</v>
      </c>
      <c r="ER6" t="e">
        <f>AND(#REF!,"AAAAAH/Xj5M=")</f>
        <v>#REF!</v>
      </c>
      <c r="ES6" t="e">
        <f>AND(#REF!,"AAAAAH/Xj5Q=")</f>
        <v>#REF!</v>
      </c>
      <c r="ET6" t="e">
        <f>AND(#REF!,"AAAAAH/Xj5U=")</f>
        <v>#REF!</v>
      </c>
      <c r="EU6" t="e">
        <f>IF(#REF!,"AAAAAH/Xj5Y=",0)</f>
        <v>#REF!</v>
      </c>
      <c r="EV6" t="e">
        <f>AND(#REF!,"AAAAAH/Xj5c=")</f>
        <v>#REF!</v>
      </c>
      <c r="EW6" t="e">
        <f>AND(#REF!,"AAAAAH/Xj5g=")</f>
        <v>#REF!</v>
      </c>
      <c r="EX6" t="e">
        <f>AND(#REF!,"AAAAAH/Xj5k=")</f>
        <v>#REF!</v>
      </c>
      <c r="EY6" t="e">
        <f>AND(#REF!,"AAAAAH/Xj5o=")</f>
        <v>#REF!</v>
      </c>
      <c r="EZ6" t="e">
        <f>AND(#REF!,"AAAAAH/Xj5s=")</f>
        <v>#REF!</v>
      </c>
      <c r="FA6" t="e">
        <f>AND(#REF!,"AAAAAH/Xj5w=")</f>
        <v>#REF!</v>
      </c>
      <c r="FB6" t="e">
        <f>AND(#REF!,"AAAAAH/Xj50=")</f>
        <v>#REF!</v>
      </c>
      <c r="FC6" t="e">
        <f>AND(#REF!,"AAAAAH/Xj54=")</f>
        <v>#REF!</v>
      </c>
      <c r="FD6" t="e">
        <f>AND(#REF!,"AAAAAH/Xj58=")</f>
        <v>#REF!</v>
      </c>
      <c r="FE6" t="e">
        <f>AND(#REF!,"AAAAAH/Xj6A=")</f>
        <v>#REF!</v>
      </c>
      <c r="FF6" t="e">
        <f>AND(#REF!,"AAAAAH/Xj6E=")</f>
        <v>#REF!</v>
      </c>
      <c r="FG6" t="e">
        <f>AND(#REF!,"AAAAAH/Xj6I=")</f>
        <v>#REF!</v>
      </c>
      <c r="FH6" t="e">
        <f>AND(#REF!,"AAAAAH/Xj6M=")</f>
        <v>#REF!</v>
      </c>
      <c r="FI6" t="e">
        <f>AND(#REF!,"AAAAAH/Xj6Q=")</f>
        <v>#REF!</v>
      </c>
      <c r="FJ6" t="e">
        <f>AND(#REF!,"AAAAAH/Xj6U=")</f>
        <v>#REF!</v>
      </c>
      <c r="FK6" t="e">
        <f>AND(#REF!,"AAAAAH/Xj6Y=")</f>
        <v>#REF!</v>
      </c>
      <c r="FL6" t="e">
        <f>AND(#REF!,"AAAAAH/Xj6c=")</f>
        <v>#REF!</v>
      </c>
      <c r="FM6" t="e">
        <f>AND(#REF!,"AAAAAH/Xj6g=")</f>
        <v>#REF!</v>
      </c>
      <c r="FN6" t="e">
        <f>AND(#REF!,"AAAAAH/Xj6k=")</f>
        <v>#REF!</v>
      </c>
      <c r="FO6" t="e">
        <f>AND(#REF!,"AAAAAH/Xj6o=")</f>
        <v>#REF!</v>
      </c>
      <c r="FP6" t="e">
        <f>AND(#REF!,"AAAAAH/Xj6s=")</f>
        <v>#REF!</v>
      </c>
      <c r="FQ6" t="e">
        <f>AND(#REF!,"AAAAAH/Xj6w=")</f>
        <v>#REF!</v>
      </c>
      <c r="FR6" t="e">
        <f>AND(#REF!,"AAAAAH/Xj60=")</f>
        <v>#REF!</v>
      </c>
      <c r="FS6" t="e">
        <f>AND(#REF!,"AAAAAH/Xj64=")</f>
        <v>#REF!</v>
      </c>
      <c r="FT6" t="e">
        <f>AND(#REF!,"AAAAAH/Xj68=")</f>
        <v>#REF!</v>
      </c>
      <c r="FU6" t="e">
        <f>AND(#REF!,"AAAAAH/Xj7A=")</f>
        <v>#REF!</v>
      </c>
      <c r="FV6" t="e">
        <f>IF(#REF!,"AAAAAH/Xj7E=",0)</f>
        <v>#REF!</v>
      </c>
      <c r="FW6" t="e">
        <f>AND(#REF!,"AAAAAH/Xj7I=")</f>
        <v>#REF!</v>
      </c>
      <c r="FX6" t="e">
        <f>AND(#REF!,"AAAAAH/Xj7M=")</f>
        <v>#REF!</v>
      </c>
      <c r="FY6" t="e">
        <f>AND(#REF!,"AAAAAH/Xj7Q=")</f>
        <v>#REF!</v>
      </c>
      <c r="FZ6" t="e">
        <f>AND(#REF!,"AAAAAH/Xj7U=")</f>
        <v>#REF!</v>
      </c>
      <c r="GA6" t="e">
        <f>AND(#REF!,"AAAAAH/Xj7Y=")</f>
        <v>#REF!</v>
      </c>
      <c r="GB6" t="e">
        <f>AND(#REF!,"AAAAAH/Xj7c=")</f>
        <v>#REF!</v>
      </c>
      <c r="GC6" t="e">
        <f>AND(#REF!,"AAAAAH/Xj7g=")</f>
        <v>#REF!</v>
      </c>
      <c r="GD6" t="e">
        <f>AND(#REF!,"AAAAAH/Xj7k=")</f>
        <v>#REF!</v>
      </c>
      <c r="GE6" t="e">
        <f>AND(#REF!,"AAAAAH/Xj7o=")</f>
        <v>#REF!</v>
      </c>
      <c r="GF6" t="e">
        <f>AND(#REF!,"AAAAAH/Xj7s=")</f>
        <v>#REF!</v>
      </c>
      <c r="GG6" t="e">
        <f>AND(#REF!,"AAAAAH/Xj7w=")</f>
        <v>#REF!</v>
      </c>
      <c r="GH6" t="e">
        <f>AND(#REF!,"AAAAAH/Xj70=")</f>
        <v>#REF!</v>
      </c>
      <c r="GI6" t="e">
        <f>AND(#REF!,"AAAAAH/Xj74=")</f>
        <v>#REF!</v>
      </c>
      <c r="GJ6" t="e">
        <f>AND(#REF!,"AAAAAH/Xj78=")</f>
        <v>#REF!</v>
      </c>
      <c r="GK6" t="e">
        <f>AND(#REF!,"AAAAAH/Xj8A=")</f>
        <v>#REF!</v>
      </c>
      <c r="GL6" t="e">
        <f>AND(#REF!,"AAAAAH/Xj8E=")</f>
        <v>#REF!</v>
      </c>
      <c r="GM6" t="e">
        <f>AND(#REF!,"AAAAAH/Xj8I=")</f>
        <v>#REF!</v>
      </c>
      <c r="GN6" t="e">
        <f>AND(#REF!,"AAAAAH/Xj8M=")</f>
        <v>#REF!</v>
      </c>
      <c r="GO6" t="e">
        <f>AND(#REF!,"AAAAAH/Xj8Q=")</f>
        <v>#REF!</v>
      </c>
      <c r="GP6" t="e">
        <f>AND(#REF!,"AAAAAH/Xj8U=")</f>
        <v>#REF!</v>
      </c>
      <c r="GQ6" t="e">
        <f>AND(#REF!,"AAAAAH/Xj8Y=")</f>
        <v>#REF!</v>
      </c>
      <c r="GR6" t="e">
        <f>AND(#REF!,"AAAAAH/Xj8c=")</f>
        <v>#REF!</v>
      </c>
      <c r="GS6" t="e">
        <f>AND(#REF!,"AAAAAH/Xj8g=")</f>
        <v>#REF!</v>
      </c>
      <c r="GT6" t="e">
        <f>AND(#REF!,"AAAAAH/Xj8k=")</f>
        <v>#REF!</v>
      </c>
      <c r="GU6" t="e">
        <f>AND(#REF!,"AAAAAH/Xj8o=")</f>
        <v>#REF!</v>
      </c>
      <c r="GV6" t="e">
        <f>AND(#REF!,"AAAAAH/Xj8s=")</f>
        <v>#REF!</v>
      </c>
      <c r="GW6" t="e">
        <f>IF(#REF!,"AAAAAH/Xj8w=",0)</f>
        <v>#REF!</v>
      </c>
      <c r="GX6" t="e">
        <f>AND(#REF!,"AAAAAH/Xj80=")</f>
        <v>#REF!</v>
      </c>
      <c r="GY6" t="e">
        <f>AND(#REF!,"AAAAAH/Xj84=")</f>
        <v>#REF!</v>
      </c>
      <c r="GZ6" t="e">
        <f>AND(#REF!,"AAAAAH/Xj88=")</f>
        <v>#REF!</v>
      </c>
      <c r="HA6" t="e">
        <f>AND(#REF!,"AAAAAH/Xj9A=")</f>
        <v>#REF!</v>
      </c>
      <c r="HB6" t="e">
        <f>AND(#REF!,"AAAAAH/Xj9E=")</f>
        <v>#REF!</v>
      </c>
      <c r="HC6" t="e">
        <f>AND(#REF!,"AAAAAH/Xj9I=")</f>
        <v>#REF!</v>
      </c>
      <c r="HD6" t="e">
        <f>AND(#REF!,"AAAAAH/Xj9M=")</f>
        <v>#REF!</v>
      </c>
      <c r="HE6" t="e">
        <f>AND(#REF!,"AAAAAH/Xj9Q=")</f>
        <v>#REF!</v>
      </c>
      <c r="HF6" t="e">
        <f>AND(#REF!,"AAAAAH/Xj9U=")</f>
        <v>#REF!</v>
      </c>
      <c r="HG6" t="e">
        <f>AND(#REF!,"AAAAAH/Xj9Y=")</f>
        <v>#REF!</v>
      </c>
      <c r="HH6" t="e">
        <f>AND(#REF!,"AAAAAH/Xj9c=")</f>
        <v>#REF!</v>
      </c>
      <c r="HI6" t="e">
        <f>AND(#REF!,"AAAAAH/Xj9g=")</f>
        <v>#REF!</v>
      </c>
      <c r="HJ6" t="e">
        <f>AND(#REF!,"AAAAAH/Xj9k=")</f>
        <v>#REF!</v>
      </c>
      <c r="HK6" t="e">
        <f>AND(#REF!,"AAAAAH/Xj9o=")</f>
        <v>#REF!</v>
      </c>
      <c r="HL6" t="e">
        <f>AND(#REF!,"AAAAAH/Xj9s=")</f>
        <v>#REF!</v>
      </c>
      <c r="HM6" t="e">
        <f>AND(#REF!,"AAAAAH/Xj9w=")</f>
        <v>#REF!</v>
      </c>
      <c r="HN6" t="e">
        <f>AND(#REF!,"AAAAAH/Xj90=")</f>
        <v>#REF!</v>
      </c>
      <c r="HO6" t="e">
        <f>AND(#REF!,"AAAAAH/Xj94=")</f>
        <v>#REF!</v>
      </c>
      <c r="HP6" t="e">
        <f>AND(#REF!,"AAAAAH/Xj98=")</f>
        <v>#REF!</v>
      </c>
      <c r="HQ6" t="e">
        <f>AND(#REF!,"AAAAAH/Xj+A=")</f>
        <v>#REF!</v>
      </c>
      <c r="HR6" t="e">
        <f>AND(#REF!,"AAAAAH/Xj+E=")</f>
        <v>#REF!</v>
      </c>
      <c r="HS6" t="e">
        <f>AND(#REF!,"AAAAAH/Xj+I=")</f>
        <v>#REF!</v>
      </c>
      <c r="HT6" t="e">
        <f>AND(#REF!,"AAAAAH/Xj+M=")</f>
        <v>#REF!</v>
      </c>
      <c r="HU6" t="e">
        <f>AND(#REF!,"AAAAAH/Xj+Q=")</f>
        <v>#REF!</v>
      </c>
      <c r="HV6" t="e">
        <f>AND(#REF!,"AAAAAH/Xj+U=")</f>
        <v>#REF!</v>
      </c>
      <c r="HW6" t="e">
        <f>AND(#REF!,"AAAAAH/Xj+Y=")</f>
        <v>#REF!</v>
      </c>
      <c r="HX6" t="e">
        <f>IF(#REF!,"AAAAAH/Xj+c=",0)</f>
        <v>#REF!</v>
      </c>
      <c r="HY6" t="e">
        <f>AND(#REF!,"AAAAAH/Xj+g=")</f>
        <v>#REF!</v>
      </c>
      <c r="HZ6" t="e">
        <f>AND(#REF!,"AAAAAH/Xj+k=")</f>
        <v>#REF!</v>
      </c>
      <c r="IA6" t="e">
        <f>AND(#REF!,"AAAAAH/Xj+o=")</f>
        <v>#REF!</v>
      </c>
      <c r="IB6" t="e">
        <f>AND(#REF!,"AAAAAH/Xj+s=")</f>
        <v>#REF!</v>
      </c>
      <c r="IC6" t="e">
        <f>AND(#REF!,"AAAAAH/Xj+w=")</f>
        <v>#REF!</v>
      </c>
      <c r="ID6" t="e">
        <f>AND(#REF!,"AAAAAH/Xj+0=")</f>
        <v>#REF!</v>
      </c>
      <c r="IE6" t="e">
        <f>AND(#REF!,"AAAAAH/Xj+4=")</f>
        <v>#REF!</v>
      </c>
      <c r="IF6" t="e">
        <f>AND(#REF!,"AAAAAH/Xj+8=")</f>
        <v>#REF!</v>
      </c>
      <c r="IG6" t="e">
        <f>AND(#REF!,"AAAAAH/Xj/A=")</f>
        <v>#REF!</v>
      </c>
      <c r="IH6" t="e">
        <f>AND(#REF!,"AAAAAH/Xj/E=")</f>
        <v>#REF!</v>
      </c>
      <c r="II6" t="e">
        <f>AND(#REF!,"AAAAAH/Xj/I=")</f>
        <v>#REF!</v>
      </c>
      <c r="IJ6" t="e">
        <f>AND(#REF!,"AAAAAH/Xj/M=")</f>
        <v>#REF!</v>
      </c>
      <c r="IK6" t="e">
        <f>AND(#REF!,"AAAAAH/Xj/Q=")</f>
        <v>#REF!</v>
      </c>
      <c r="IL6" t="e">
        <f>AND(#REF!,"AAAAAH/Xj/U=")</f>
        <v>#REF!</v>
      </c>
      <c r="IM6" t="e">
        <f>AND(#REF!,"AAAAAH/Xj/Y=")</f>
        <v>#REF!</v>
      </c>
      <c r="IN6" t="e">
        <f>AND(#REF!,"AAAAAH/Xj/c=")</f>
        <v>#REF!</v>
      </c>
      <c r="IO6" t="e">
        <f>AND(#REF!,"AAAAAH/Xj/g=")</f>
        <v>#REF!</v>
      </c>
      <c r="IP6" t="e">
        <f>AND(#REF!,"AAAAAH/Xj/k=")</f>
        <v>#REF!</v>
      </c>
      <c r="IQ6" t="e">
        <f>AND(#REF!,"AAAAAH/Xj/o=")</f>
        <v>#REF!</v>
      </c>
      <c r="IR6" t="e">
        <f>AND(#REF!,"AAAAAH/Xj/s=")</f>
        <v>#REF!</v>
      </c>
      <c r="IS6" t="e">
        <f>AND(#REF!,"AAAAAH/Xj/w=")</f>
        <v>#REF!</v>
      </c>
      <c r="IT6" t="e">
        <f>AND(#REF!,"AAAAAH/Xj/0=")</f>
        <v>#REF!</v>
      </c>
      <c r="IU6" t="e">
        <f>AND(#REF!,"AAAAAH/Xj/4=")</f>
        <v>#REF!</v>
      </c>
      <c r="IV6" t="e">
        <f>AND(#REF!,"AAAAAH/Xj/8=")</f>
        <v>#REF!</v>
      </c>
    </row>
    <row r="7" spans="1:256" x14ac:dyDescent="0.2">
      <c r="A7" t="e">
        <f>AND(#REF!,"AAAAAH/vnwA=")</f>
        <v>#REF!</v>
      </c>
      <c r="B7" t="e">
        <f>AND(#REF!,"AAAAAH/vnwE=")</f>
        <v>#REF!</v>
      </c>
      <c r="C7" t="e">
        <f>IF(#REF!,"AAAAAH/vnwI=",0)</f>
        <v>#REF!</v>
      </c>
      <c r="D7" t="e">
        <f>AND(#REF!,"AAAAAH/vnwM=")</f>
        <v>#REF!</v>
      </c>
      <c r="E7" t="e">
        <f>AND(#REF!,"AAAAAH/vnwQ=")</f>
        <v>#REF!</v>
      </c>
      <c r="F7" t="e">
        <f>AND(#REF!,"AAAAAH/vnwU=")</f>
        <v>#REF!</v>
      </c>
      <c r="G7" t="e">
        <f>AND(#REF!,"AAAAAH/vnwY=")</f>
        <v>#REF!</v>
      </c>
      <c r="H7" t="e">
        <f>AND(#REF!,"AAAAAH/vnwc=")</f>
        <v>#REF!</v>
      </c>
      <c r="I7" t="e">
        <f>AND(#REF!,"AAAAAH/vnwg=")</f>
        <v>#REF!</v>
      </c>
      <c r="J7" t="e">
        <f>AND(#REF!,"AAAAAH/vnwk=")</f>
        <v>#REF!</v>
      </c>
      <c r="K7" t="e">
        <f>AND(#REF!,"AAAAAH/vnwo=")</f>
        <v>#REF!</v>
      </c>
      <c r="L7" t="e">
        <f>AND(#REF!,"AAAAAH/vnws=")</f>
        <v>#REF!</v>
      </c>
      <c r="M7" t="e">
        <f>AND(#REF!,"AAAAAH/vnww=")</f>
        <v>#REF!</v>
      </c>
      <c r="N7" t="e">
        <f>AND(#REF!,"AAAAAH/vnw0=")</f>
        <v>#REF!</v>
      </c>
      <c r="O7" t="e">
        <f>AND(#REF!,"AAAAAH/vnw4=")</f>
        <v>#REF!</v>
      </c>
      <c r="P7" t="e">
        <f>AND(#REF!,"AAAAAH/vnw8=")</f>
        <v>#REF!</v>
      </c>
      <c r="Q7" t="e">
        <f>AND(#REF!,"AAAAAH/vnxA=")</f>
        <v>#REF!</v>
      </c>
      <c r="R7" t="e">
        <f>AND(#REF!,"AAAAAH/vnxE=")</f>
        <v>#REF!</v>
      </c>
      <c r="S7" t="e">
        <f>AND(#REF!,"AAAAAH/vnxI=")</f>
        <v>#REF!</v>
      </c>
      <c r="T7" t="e">
        <f>AND(#REF!,"AAAAAH/vnxM=")</f>
        <v>#REF!</v>
      </c>
      <c r="U7" t="e">
        <f>AND(#REF!,"AAAAAH/vnxQ=")</f>
        <v>#REF!</v>
      </c>
      <c r="V7" t="e">
        <f>AND(#REF!,"AAAAAH/vnxU=")</f>
        <v>#REF!</v>
      </c>
      <c r="W7" t="e">
        <f>AND(#REF!,"AAAAAH/vnxY=")</f>
        <v>#REF!</v>
      </c>
      <c r="X7" t="e">
        <f>AND(#REF!,"AAAAAH/vnxc=")</f>
        <v>#REF!</v>
      </c>
      <c r="Y7" t="e">
        <f>AND(#REF!,"AAAAAH/vnxg=")</f>
        <v>#REF!</v>
      </c>
      <c r="Z7" t="e">
        <f>AND(#REF!,"AAAAAH/vnxk=")</f>
        <v>#REF!</v>
      </c>
      <c r="AA7" t="e">
        <f>AND(#REF!,"AAAAAH/vnxo=")</f>
        <v>#REF!</v>
      </c>
      <c r="AB7" t="e">
        <f>AND(#REF!,"AAAAAH/vnxs=")</f>
        <v>#REF!</v>
      </c>
      <c r="AC7" t="e">
        <f>AND(#REF!,"AAAAAH/vnxw=")</f>
        <v>#REF!</v>
      </c>
      <c r="AD7" t="e">
        <f>IF(#REF!,"AAAAAH/vnx0=",0)</f>
        <v>#REF!</v>
      </c>
      <c r="AE7" t="e">
        <f>AND(#REF!,"AAAAAH/vnx4=")</f>
        <v>#REF!</v>
      </c>
      <c r="AF7" t="e">
        <f>AND(#REF!,"AAAAAH/vnx8=")</f>
        <v>#REF!</v>
      </c>
      <c r="AG7" t="e">
        <f>AND(#REF!,"AAAAAH/vnyA=")</f>
        <v>#REF!</v>
      </c>
      <c r="AH7" t="e">
        <f>AND(#REF!,"AAAAAH/vnyE=")</f>
        <v>#REF!</v>
      </c>
      <c r="AI7" t="e">
        <f>AND(#REF!,"AAAAAH/vnyI=")</f>
        <v>#REF!</v>
      </c>
      <c r="AJ7" t="e">
        <f>AND(#REF!,"AAAAAH/vnyM=")</f>
        <v>#REF!</v>
      </c>
      <c r="AK7" t="e">
        <f>AND(#REF!,"AAAAAH/vnyQ=")</f>
        <v>#REF!</v>
      </c>
      <c r="AL7" t="e">
        <f>AND(#REF!,"AAAAAH/vnyU=")</f>
        <v>#REF!</v>
      </c>
      <c r="AM7" t="e">
        <f>AND(#REF!,"AAAAAH/vnyY=")</f>
        <v>#REF!</v>
      </c>
      <c r="AN7" t="e">
        <f>AND(#REF!,"AAAAAH/vnyc=")</f>
        <v>#REF!</v>
      </c>
      <c r="AO7" t="e">
        <f>AND(#REF!,"AAAAAH/vnyg=")</f>
        <v>#REF!</v>
      </c>
      <c r="AP7" t="e">
        <f>AND(#REF!,"AAAAAH/vnyk=")</f>
        <v>#REF!</v>
      </c>
      <c r="AQ7" t="e">
        <f>AND(#REF!,"AAAAAH/vnyo=")</f>
        <v>#REF!</v>
      </c>
      <c r="AR7" t="e">
        <f>AND(#REF!,"AAAAAH/vnys=")</f>
        <v>#REF!</v>
      </c>
      <c r="AS7" t="e">
        <f>AND(#REF!,"AAAAAH/vnyw=")</f>
        <v>#REF!</v>
      </c>
      <c r="AT7" t="e">
        <f>AND(#REF!,"AAAAAH/vny0=")</f>
        <v>#REF!</v>
      </c>
      <c r="AU7" t="e">
        <f>AND(#REF!,"AAAAAH/vny4=")</f>
        <v>#REF!</v>
      </c>
      <c r="AV7" t="e">
        <f>AND(#REF!,"AAAAAH/vny8=")</f>
        <v>#REF!</v>
      </c>
      <c r="AW7" t="e">
        <f>AND(#REF!,"AAAAAH/vnzA=")</f>
        <v>#REF!</v>
      </c>
      <c r="AX7" t="e">
        <f>AND(#REF!,"AAAAAH/vnzE=")</f>
        <v>#REF!</v>
      </c>
      <c r="AY7" t="e">
        <f>AND(#REF!,"AAAAAH/vnzI=")</f>
        <v>#REF!</v>
      </c>
      <c r="AZ7" t="e">
        <f>AND(#REF!,"AAAAAH/vnzM=")</f>
        <v>#REF!</v>
      </c>
      <c r="BA7" t="e">
        <f>AND(#REF!,"AAAAAH/vnzQ=")</f>
        <v>#REF!</v>
      </c>
      <c r="BB7" t="e">
        <f>AND(#REF!,"AAAAAH/vnzU=")</f>
        <v>#REF!</v>
      </c>
      <c r="BC7" t="e">
        <f>AND(#REF!,"AAAAAH/vnzY=")</f>
        <v>#REF!</v>
      </c>
      <c r="BD7" t="e">
        <f>AND(#REF!,"AAAAAH/vnzc=")</f>
        <v>#REF!</v>
      </c>
      <c r="BE7" t="e">
        <f>IF(#REF!,"AAAAAH/vnzg=",0)</f>
        <v>#REF!</v>
      </c>
      <c r="BF7" t="e">
        <f>AND(#REF!,"AAAAAH/vnzk=")</f>
        <v>#REF!</v>
      </c>
      <c r="BG7" t="e">
        <f>AND(#REF!,"AAAAAH/vnzo=")</f>
        <v>#REF!</v>
      </c>
      <c r="BH7" t="e">
        <f>AND(#REF!,"AAAAAH/vnzs=")</f>
        <v>#REF!</v>
      </c>
      <c r="BI7" t="e">
        <f>AND(#REF!,"AAAAAH/vnzw=")</f>
        <v>#REF!</v>
      </c>
      <c r="BJ7" t="e">
        <f>AND(#REF!,"AAAAAH/vnz0=")</f>
        <v>#REF!</v>
      </c>
      <c r="BK7" t="e">
        <f>AND(#REF!,"AAAAAH/vnz4=")</f>
        <v>#REF!</v>
      </c>
      <c r="BL7" t="e">
        <f>AND(#REF!,"AAAAAH/vnz8=")</f>
        <v>#REF!</v>
      </c>
      <c r="BM7" t="e">
        <f>AND(#REF!,"AAAAAH/vn0A=")</f>
        <v>#REF!</v>
      </c>
      <c r="BN7" t="e">
        <f>AND(#REF!,"AAAAAH/vn0E=")</f>
        <v>#REF!</v>
      </c>
      <c r="BO7" t="e">
        <f>AND(#REF!,"AAAAAH/vn0I=")</f>
        <v>#REF!</v>
      </c>
      <c r="BP7" t="e">
        <f>AND(#REF!,"AAAAAH/vn0M=")</f>
        <v>#REF!</v>
      </c>
      <c r="BQ7" t="e">
        <f>AND(#REF!,"AAAAAH/vn0Q=")</f>
        <v>#REF!</v>
      </c>
      <c r="BR7" t="e">
        <f>AND(#REF!,"AAAAAH/vn0U=")</f>
        <v>#REF!</v>
      </c>
      <c r="BS7" t="e">
        <f>AND(#REF!,"AAAAAH/vn0Y=")</f>
        <v>#REF!</v>
      </c>
      <c r="BT7" t="e">
        <f>AND(#REF!,"AAAAAH/vn0c=")</f>
        <v>#REF!</v>
      </c>
      <c r="BU7" t="e">
        <f>AND(#REF!,"AAAAAH/vn0g=")</f>
        <v>#REF!</v>
      </c>
      <c r="BV7" t="e">
        <f>AND(#REF!,"AAAAAH/vn0k=")</f>
        <v>#REF!</v>
      </c>
      <c r="BW7" t="e">
        <f>AND(#REF!,"AAAAAH/vn0o=")</f>
        <v>#REF!</v>
      </c>
      <c r="BX7" t="e">
        <f>AND(#REF!,"AAAAAH/vn0s=")</f>
        <v>#REF!</v>
      </c>
      <c r="BY7" t="e">
        <f>AND(#REF!,"AAAAAH/vn0w=")</f>
        <v>#REF!</v>
      </c>
      <c r="BZ7" t="e">
        <f>AND(#REF!,"AAAAAH/vn00=")</f>
        <v>#REF!</v>
      </c>
      <c r="CA7" t="e">
        <f>AND(#REF!,"AAAAAH/vn04=")</f>
        <v>#REF!</v>
      </c>
      <c r="CB7" t="e">
        <f>AND(#REF!,"AAAAAH/vn08=")</f>
        <v>#REF!</v>
      </c>
      <c r="CC7" t="e">
        <f>AND(#REF!,"AAAAAH/vn1A=")</f>
        <v>#REF!</v>
      </c>
      <c r="CD7" t="e">
        <f>AND(#REF!,"AAAAAH/vn1E=")</f>
        <v>#REF!</v>
      </c>
      <c r="CE7" t="e">
        <f>AND(#REF!,"AAAAAH/vn1I=")</f>
        <v>#REF!</v>
      </c>
      <c r="CF7" t="e">
        <f>IF(#REF!,"AAAAAH/vn1M=",0)</f>
        <v>#REF!</v>
      </c>
      <c r="CG7" t="e">
        <f>AND(#REF!,"AAAAAH/vn1Q=")</f>
        <v>#REF!</v>
      </c>
      <c r="CH7" t="e">
        <f>AND(#REF!,"AAAAAH/vn1U=")</f>
        <v>#REF!</v>
      </c>
      <c r="CI7" t="e">
        <f>AND(#REF!,"AAAAAH/vn1Y=")</f>
        <v>#REF!</v>
      </c>
      <c r="CJ7" t="e">
        <f>AND(#REF!,"AAAAAH/vn1c=")</f>
        <v>#REF!</v>
      </c>
      <c r="CK7" t="e">
        <f>AND(#REF!,"AAAAAH/vn1g=")</f>
        <v>#REF!</v>
      </c>
      <c r="CL7" t="e">
        <f>AND(#REF!,"AAAAAH/vn1k=")</f>
        <v>#REF!</v>
      </c>
      <c r="CM7" t="e">
        <f>AND(#REF!,"AAAAAH/vn1o=")</f>
        <v>#REF!</v>
      </c>
      <c r="CN7" t="e">
        <f>AND(#REF!,"AAAAAH/vn1s=")</f>
        <v>#REF!</v>
      </c>
      <c r="CO7" t="e">
        <f>AND(#REF!,"AAAAAH/vn1w=")</f>
        <v>#REF!</v>
      </c>
      <c r="CP7" t="e">
        <f>AND(#REF!,"AAAAAH/vn10=")</f>
        <v>#REF!</v>
      </c>
      <c r="CQ7" t="e">
        <f>AND(#REF!,"AAAAAH/vn14=")</f>
        <v>#REF!</v>
      </c>
      <c r="CR7" t="e">
        <f>AND(#REF!,"AAAAAH/vn18=")</f>
        <v>#REF!</v>
      </c>
      <c r="CS7" t="e">
        <f>AND(#REF!,"AAAAAH/vn2A=")</f>
        <v>#REF!</v>
      </c>
      <c r="CT7" t="e">
        <f>AND(#REF!,"AAAAAH/vn2E=")</f>
        <v>#REF!</v>
      </c>
      <c r="CU7" t="e">
        <f>AND(#REF!,"AAAAAH/vn2I=")</f>
        <v>#REF!</v>
      </c>
      <c r="CV7" t="e">
        <f>AND(#REF!,"AAAAAH/vn2M=")</f>
        <v>#REF!</v>
      </c>
      <c r="CW7" t="e">
        <f>AND(#REF!,"AAAAAH/vn2Q=")</f>
        <v>#REF!</v>
      </c>
      <c r="CX7" t="e">
        <f>AND(#REF!,"AAAAAH/vn2U=")</f>
        <v>#REF!</v>
      </c>
      <c r="CY7" t="e">
        <f>AND(#REF!,"AAAAAH/vn2Y=")</f>
        <v>#REF!</v>
      </c>
      <c r="CZ7" t="e">
        <f>AND(#REF!,"AAAAAH/vn2c=")</f>
        <v>#REF!</v>
      </c>
      <c r="DA7" t="e">
        <f>AND(#REF!,"AAAAAH/vn2g=")</f>
        <v>#REF!</v>
      </c>
      <c r="DB7" t="e">
        <f>AND(#REF!,"AAAAAH/vn2k=")</f>
        <v>#REF!</v>
      </c>
      <c r="DC7" t="e">
        <f>AND(#REF!,"AAAAAH/vn2o=")</f>
        <v>#REF!</v>
      </c>
      <c r="DD7" t="e">
        <f>AND(#REF!,"AAAAAH/vn2s=")</f>
        <v>#REF!</v>
      </c>
      <c r="DE7" t="e">
        <f>AND(#REF!,"AAAAAH/vn2w=")</f>
        <v>#REF!</v>
      </c>
      <c r="DF7" t="e">
        <f>AND(#REF!,"AAAAAH/vn20=")</f>
        <v>#REF!</v>
      </c>
      <c r="DG7" t="e">
        <f>IF(#REF!,"AAAAAH/vn24=",0)</f>
        <v>#REF!</v>
      </c>
      <c r="DH7" t="e">
        <f>AND(#REF!,"AAAAAH/vn28=")</f>
        <v>#REF!</v>
      </c>
      <c r="DI7" t="e">
        <f>AND(#REF!,"AAAAAH/vn3A=")</f>
        <v>#REF!</v>
      </c>
      <c r="DJ7" t="e">
        <f>AND(#REF!,"AAAAAH/vn3E=")</f>
        <v>#REF!</v>
      </c>
      <c r="DK7" t="e">
        <f>AND(#REF!,"AAAAAH/vn3I=")</f>
        <v>#REF!</v>
      </c>
      <c r="DL7" t="e">
        <f>AND(#REF!,"AAAAAH/vn3M=")</f>
        <v>#REF!</v>
      </c>
      <c r="DM7" t="e">
        <f>AND(#REF!,"AAAAAH/vn3Q=")</f>
        <v>#REF!</v>
      </c>
      <c r="DN7" t="e">
        <f>AND(#REF!,"AAAAAH/vn3U=")</f>
        <v>#REF!</v>
      </c>
      <c r="DO7" t="e">
        <f>AND(#REF!,"AAAAAH/vn3Y=")</f>
        <v>#REF!</v>
      </c>
      <c r="DP7" t="e">
        <f>AND(#REF!,"AAAAAH/vn3c=")</f>
        <v>#REF!</v>
      </c>
      <c r="DQ7" t="e">
        <f>AND(#REF!,"AAAAAH/vn3g=")</f>
        <v>#REF!</v>
      </c>
      <c r="DR7" t="e">
        <f>AND(#REF!,"AAAAAH/vn3k=")</f>
        <v>#REF!</v>
      </c>
      <c r="DS7" t="e">
        <f>AND(#REF!,"AAAAAH/vn3o=")</f>
        <v>#REF!</v>
      </c>
      <c r="DT7" t="e">
        <f>AND(#REF!,"AAAAAH/vn3s=")</f>
        <v>#REF!</v>
      </c>
      <c r="DU7" t="e">
        <f>AND(#REF!,"AAAAAH/vn3w=")</f>
        <v>#REF!</v>
      </c>
      <c r="DV7" t="e">
        <f>AND(#REF!,"AAAAAH/vn30=")</f>
        <v>#REF!</v>
      </c>
      <c r="DW7" t="e">
        <f>AND(#REF!,"AAAAAH/vn34=")</f>
        <v>#REF!</v>
      </c>
      <c r="DX7" t="e">
        <f>AND(#REF!,"AAAAAH/vn38=")</f>
        <v>#REF!</v>
      </c>
      <c r="DY7" t="e">
        <f>AND(#REF!,"AAAAAH/vn4A=")</f>
        <v>#REF!</v>
      </c>
      <c r="DZ7" t="e">
        <f>AND(#REF!,"AAAAAH/vn4E=")</f>
        <v>#REF!</v>
      </c>
      <c r="EA7" t="e">
        <f>AND(#REF!,"AAAAAH/vn4I=")</f>
        <v>#REF!</v>
      </c>
      <c r="EB7" t="e">
        <f>AND(#REF!,"AAAAAH/vn4M=")</f>
        <v>#REF!</v>
      </c>
      <c r="EC7" t="e">
        <f>AND(#REF!,"AAAAAH/vn4Q=")</f>
        <v>#REF!</v>
      </c>
      <c r="ED7" t="e">
        <f>AND(#REF!,"AAAAAH/vn4U=")</f>
        <v>#REF!</v>
      </c>
      <c r="EE7" t="e">
        <f>AND(#REF!,"AAAAAH/vn4Y=")</f>
        <v>#REF!</v>
      </c>
      <c r="EF7" t="e">
        <f>AND(#REF!,"AAAAAH/vn4c=")</f>
        <v>#REF!</v>
      </c>
      <c r="EG7" t="e">
        <f>AND(#REF!,"AAAAAH/vn4g=")</f>
        <v>#REF!</v>
      </c>
      <c r="EH7" t="e">
        <f>IF(#REF!,"AAAAAH/vn4k=",0)</f>
        <v>#REF!</v>
      </c>
      <c r="EI7" t="e">
        <f>AND(#REF!,"AAAAAH/vn4o=")</f>
        <v>#REF!</v>
      </c>
      <c r="EJ7" t="e">
        <f>AND(#REF!,"AAAAAH/vn4s=")</f>
        <v>#REF!</v>
      </c>
      <c r="EK7" t="e">
        <f>AND(#REF!,"AAAAAH/vn4w=")</f>
        <v>#REF!</v>
      </c>
      <c r="EL7" t="e">
        <f>AND(#REF!,"AAAAAH/vn40=")</f>
        <v>#REF!</v>
      </c>
      <c r="EM7" t="e">
        <f>AND(#REF!,"AAAAAH/vn44=")</f>
        <v>#REF!</v>
      </c>
      <c r="EN7" t="e">
        <f>AND(#REF!,"AAAAAH/vn48=")</f>
        <v>#REF!</v>
      </c>
      <c r="EO7" t="e">
        <f>AND(#REF!,"AAAAAH/vn5A=")</f>
        <v>#REF!</v>
      </c>
      <c r="EP7" t="e">
        <f>AND(#REF!,"AAAAAH/vn5E=")</f>
        <v>#REF!</v>
      </c>
      <c r="EQ7" t="e">
        <f>AND(#REF!,"AAAAAH/vn5I=")</f>
        <v>#REF!</v>
      </c>
      <c r="ER7" t="e">
        <f>AND(#REF!,"AAAAAH/vn5M=")</f>
        <v>#REF!</v>
      </c>
      <c r="ES7" t="e">
        <f>AND(#REF!,"AAAAAH/vn5Q=")</f>
        <v>#REF!</v>
      </c>
      <c r="ET7" t="e">
        <f>AND(#REF!,"AAAAAH/vn5U=")</f>
        <v>#REF!</v>
      </c>
      <c r="EU7" t="e">
        <f>AND(#REF!,"AAAAAH/vn5Y=")</f>
        <v>#REF!</v>
      </c>
      <c r="EV7" t="e">
        <f>AND(#REF!,"AAAAAH/vn5c=")</f>
        <v>#REF!</v>
      </c>
      <c r="EW7" t="e">
        <f>AND(#REF!,"AAAAAH/vn5g=")</f>
        <v>#REF!</v>
      </c>
      <c r="EX7" t="e">
        <f>AND(#REF!,"AAAAAH/vn5k=")</f>
        <v>#REF!</v>
      </c>
      <c r="EY7" t="e">
        <f>AND(#REF!,"AAAAAH/vn5o=")</f>
        <v>#REF!</v>
      </c>
      <c r="EZ7" t="e">
        <f>AND(#REF!,"AAAAAH/vn5s=")</f>
        <v>#REF!</v>
      </c>
      <c r="FA7" t="e">
        <f>AND(#REF!,"AAAAAH/vn5w=")</f>
        <v>#REF!</v>
      </c>
      <c r="FB7" t="e">
        <f>AND(#REF!,"AAAAAH/vn50=")</f>
        <v>#REF!</v>
      </c>
      <c r="FC7" t="e">
        <f>AND(#REF!,"AAAAAH/vn54=")</f>
        <v>#REF!</v>
      </c>
      <c r="FD7" t="e">
        <f>AND(#REF!,"AAAAAH/vn58=")</f>
        <v>#REF!</v>
      </c>
      <c r="FE7" t="e">
        <f>AND(#REF!,"AAAAAH/vn6A=")</f>
        <v>#REF!</v>
      </c>
      <c r="FF7" t="e">
        <f>AND(#REF!,"AAAAAH/vn6E=")</f>
        <v>#REF!</v>
      </c>
      <c r="FG7" t="e">
        <f>AND(#REF!,"AAAAAH/vn6I=")</f>
        <v>#REF!</v>
      </c>
      <c r="FH7" t="e">
        <f>AND(#REF!,"AAAAAH/vn6M=")</f>
        <v>#REF!</v>
      </c>
      <c r="FI7" t="e">
        <f>IF(#REF!,"AAAAAH/vn6Q=",0)</f>
        <v>#REF!</v>
      </c>
      <c r="FJ7" t="e">
        <f>AND(#REF!,"AAAAAH/vn6U=")</f>
        <v>#REF!</v>
      </c>
      <c r="FK7" t="e">
        <f>AND(#REF!,"AAAAAH/vn6Y=")</f>
        <v>#REF!</v>
      </c>
      <c r="FL7" t="e">
        <f>AND(#REF!,"AAAAAH/vn6c=")</f>
        <v>#REF!</v>
      </c>
      <c r="FM7" t="e">
        <f>AND(#REF!,"AAAAAH/vn6g=")</f>
        <v>#REF!</v>
      </c>
      <c r="FN7" t="e">
        <f>AND(#REF!,"AAAAAH/vn6k=")</f>
        <v>#REF!</v>
      </c>
      <c r="FO7" t="e">
        <f>AND(#REF!,"AAAAAH/vn6o=")</f>
        <v>#REF!</v>
      </c>
      <c r="FP7" t="e">
        <f>AND(#REF!,"AAAAAH/vn6s=")</f>
        <v>#REF!</v>
      </c>
      <c r="FQ7" t="e">
        <f>AND(#REF!,"AAAAAH/vn6w=")</f>
        <v>#REF!</v>
      </c>
      <c r="FR7" t="e">
        <f>AND(#REF!,"AAAAAH/vn60=")</f>
        <v>#REF!</v>
      </c>
      <c r="FS7" t="e">
        <f>AND(#REF!,"AAAAAH/vn64=")</f>
        <v>#REF!</v>
      </c>
      <c r="FT7" t="e">
        <f>AND(#REF!,"AAAAAH/vn68=")</f>
        <v>#REF!</v>
      </c>
      <c r="FU7" t="e">
        <f>AND(#REF!,"AAAAAH/vn7A=")</f>
        <v>#REF!</v>
      </c>
      <c r="FV7" t="e">
        <f>AND(#REF!,"AAAAAH/vn7E=")</f>
        <v>#REF!</v>
      </c>
      <c r="FW7" t="e">
        <f>AND(#REF!,"AAAAAH/vn7I=")</f>
        <v>#REF!</v>
      </c>
      <c r="FX7" t="e">
        <f>AND(#REF!,"AAAAAH/vn7M=")</f>
        <v>#REF!</v>
      </c>
      <c r="FY7" t="e">
        <f>AND(#REF!,"AAAAAH/vn7Q=")</f>
        <v>#REF!</v>
      </c>
      <c r="FZ7" t="e">
        <f>AND(#REF!,"AAAAAH/vn7U=")</f>
        <v>#REF!</v>
      </c>
      <c r="GA7" t="e">
        <f>AND(#REF!,"AAAAAH/vn7Y=")</f>
        <v>#REF!</v>
      </c>
      <c r="GB7" t="e">
        <f>AND(#REF!,"AAAAAH/vn7c=")</f>
        <v>#REF!</v>
      </c>
      <c r="GC7" t="e">
        <f>AND(#REF!,"AAAAAH/vn7g=")</f>
        <v>#REF!</v>
      </c>
      <c r="GD7" t="e">
        <f>AND(#REF!,"AAAAAH/vn7k=")</f>
        <v>#REF!</v>
      </c>
      <c r="GE7" t="e">
        <f>AND(#REF!,"AAAAAH/vn7o=")</f>
        <v>#REF!</v>
      </c>
      <c r="GF7" t="e">
        <f>AND(#REF!,"AAAAAH/vn7s=")</f>
        <v>#REF!</v>
      </c>
      <c r="GG7" t="e">
        <f>AND(#REF!,"AAAAAH/vn7w=")</f>
        <v>#REF!</v>
      </c>
      <c r="GH7" t="e">
        <f>AND(#REF!,"AAAAAH/vn70=")</f>
        <v>#REF!</v>
      </c>
      <c r="GI7" t="e">
        <f>AND(#REF!,"AAAAAH/vn74=")</f>
        <v>#REF!</v>
      </c>
      <c r="GJ7" t="e">
        <f>IF(#REF!,"AAAAAH/vn78=",0)</f>
        <v>#REF!</v>
      </c>
      <c r="GK7" t="e">
        <f>AND(#REF!,"AAAAAH/vn8A=")</f>
        <v>#REF!</v>
      </c>
      <c r="GL7" t="e">
        <f>AND(#REF!,"AAAAAH/vn8E=")</f>
        <v>#REF!</v>
      </c>
      <c r="GM7" t="e">
        <f>AND(#REF!,"AAAAAH/vn8I=")</f>
        <v>#REF!</v>
      </c>
      <c r="GN7" t="e">
        <f>AND(#REF!,"AAAAAH/vn8M=")</f>
        <v>#REF!</v>
      </c>
      <c r="GO7" t="e">
        <f>AND(#REF!,"AAAAAH/vn8Q=")</f>
        <v>#REF!</v>
      </c>
      <c r="GP7" t="e">
        <f>AND(#REF!,"AAAAAH/vn8U=")</f>
        <v>#REF!</v>
      </c>
      <c r="GQ7" t="e">
        <f>AND(#REF!,"AAAAAH/vn8Y=")</f>
        <v>#REF!</v>
      </c>
      <c r="GR7" t="e">
        <f>AND(#REF!,"AAAAAH/vn8c=")</f>
        <v>#REF!</v>
      </c>
      <c r="GS7" t="e">
        <f>AND(#REF!,"AAAAAH/vn8g=")</f>
        <v>#REF!</v>
      </c>
      <c r="GT7" t="e">
        <f>AND(#REF!,"AAAAAH/vn8k=")</f>
        <v>#REF!</v>
      </c>
      <c r="GU7" t="e">
        <f>AND(#REF!,"AAAAAH/vn8o=")</f>
        <v>#REF!</v>
      </c>
      <c r="GV7" t="e">
        <f>AND(#REF!,"AAAAAH/vn8s=")</f>
        <v>#REF!</v>
      </c>
      <c r="GW7" t="e">
        <f>AND(#REF!,"AAAAAH/vn8w=")</f>
        <v>#REF!</v>
      </c>
      <c r="GX7" t="e">
        <f>AND(#REF!,"AAAAAH/vn80=")</f>
        <v>#REF!</v>
      </c>
      <c r="GY7" t="e">
        <f>AND(#REF!,"AAAAAH/vn84=")</f>
        <v>#REF!</v>
      </c>
      <c r="GZ7" t="e">
        <f>AND(#REF!,"AAAAAH/vn88=")</f>
        <v>#REF!</v>
      </c>
      <c r="HA7" t="e">
        <f>AND(#REF!,"AAAAAH/vn9A=")</f>
        <v>#REF!</v>
      </c>
      <c r="HB7" t="e">
        <f>AND(#REF!,"AAAAAH/vn9E=")</f>
        <v>#REF!</v>
      </c>
      <c r="HC7" t="e">
        <f>AND(#REF!,"AAAAAH/vn9I=")</f>
        <v>#REF!</v>
      </c>
      <c r="HD7" t="e">
        <f>AND(#REF!,"AAAAAH/vn9M=")</f>
        <v>#REF!</v>
      </c>
      <c r="HE7" t="e">
        <f>AND(#REF!,"AAAAAH/vn9Q=")</f>
        <v>#REF!</v>
      </c>
      <c r="HF7" t="e">
        <f>AND(#REF!,"AAAAAH/vn9U=")</f>
        <v>#REF!</v>
      </c>
      <c r="HG7" t="e">
        <f>AND(#REF!,"AAAAAH/vn9Y=")</f>
        <v>#REF!</v>
      </c>
      <c r="HH7" t="e">
        <f>AND(#REF!,"AAAAAH/vn9c=")</f>
        <v>#REF!</v>
      </c>
      <c r="HI7" t="e">
        <f>AND(#REF!,"AAAAAH/vn9g=")</f>
        <v>#REF!</v>
      </c>
      <c r="HJ7" t="e">
        <f>AND(#REF!,"AAAAAH/vn9k=")</f>
        <v>#REF!</v>
      </c>
      <c r="HK7" t="e">
        <f>IF(#REF!,"AAAAAH/vn9o=",0)</f>
        <v>#REF!</v>
      </c>
      <c r="HL7" t="e">
        <f>AND(#REF!,"AAAAAH/vn9s=")</f>
        <v>#REF!</v>
      </c>
      <c r="HM7" t="e">
        <f>AND(#REF!,"AAAAAH/vn9w=")</f>
        <v>#REF!</v>
      </c>
      <c r="HN7" t="e">
        <f>AND(#REF!,"AAAAAH/vn90=")</f>
        <v>#REF!</v>
      </c>
      <c r="HO7" t="e">
        <f>AND(#REF!,"AAAAAH/vn94=")</f>
        <v>#REF!</v>
      </c>
      <c r="HP7" t="e">
        <f>AND(#REF!,"AAAAAH/vn98=")</f>
        <v>#REF!</v>
      </c>
      <c r="HQ7" t="e">
        <f>AND(#REF!,"AAAAAH/vn+A=")</f>
        <v>#REF!</v>
      </c>
      <c r="HR7" t="e">
        <f>AND(#REF!,"AAAAAH/vn+E=")</f>
        <v>#REF!</v>
      </c>
      <c r="HS7" t="e">
        <f>AND(#REF!,"AAAAAH/vn+I=")</f>
        <v>#REF!</v>
      </c>
      <c r="HT7" t="e">
        <f>AND(#REF!,"AAAAAH/vn+M=")</f>
        <v>#REF!</v>
      </c>
      <c r="HU7" t="e">
        <f>AND(#REF!,"AAAAAH/vn+Q=")</f>
        <v>#REF!</v>
      </c>
      <c r="HV7" t="e">
        <f>AND(#REF!,"AAAAAH/vn+U=")</f>
        <v>#REF!</v>
      </c>
      <c r="HW7" t="e">
        <f>AND(#REF!,"AAAAAH/vn+Y=")</f>
        <v>#REF!</v>
      </c>
      <c r="HX7" t="e">
        <f>AND(#REF!,"AAAAAH/vn+c=")</f>
        <v>#REF!</v>
      </c>
      <c r="HY7" t="e">
        <f>AND(#REF!,"AAAAAH/vn+g=")</f>
        <v>#REF!</v>
      </c>
      <c r="HZ7" t="e">
        <f>AND(#REF!,"AAAAAH/vn+k=")</f>
        <v>#REF!</v>
      </c>
      <c r="IA7" t="e">
        <f>AND(#REF!,"AAAAAH/vn+o=")</f>
        <v>#REF!</v>
      </c>
      <c r="IB7" t="e">
        <f>AND(#REF!,"AAAAAH/vn+s=")</f>
        <v>#REF!</v>
      </c>
      <c r="IC7" t="e">
        <f>AND(#REF!,"AAAAAH/vn+w=")</f>
        <v>#REF!</v>
      </c>
      <c r="ID7" t="e">
        <f>AND(#REF!,"AAAAAH/vn+0=")</f>
        <v>#REF!</v>
      </c>
      <c r="IE7" t="e">
        <f>AND(#REF!,"AAAAAH/vn+4=")</f>
        <v>#REF!</v>
      </c>
      <c r="IF7" t="e">
        <f>AND(#REF!,"AAAAAH/vn+8=")</f>
        <v>#REF!</v>
      </c>
      <c r="IG7" t="e">
        <f>AND(#REF!,"AAAAAH/vn/A=")</f>
        <v>#REF!</v>
      </c>
      <c r="IH7" t="e">
        <f>AND(#REF!,"AAAAAH/vn/E=")</f>
        <v>#REF!</v>
      </c>
      <c r="II7" t="e">
        <f>AND(#REF!,"AAAAAH/vn/I=")</f>
        <v>#REF!</v>
      </c>
      <c r="IJ7" t="e">
        <f>AND(#REF!,"AAAAAH/vn/M=")</f>
        <v>#REF!</v>
      </c>
      <c r="IK7" t="e">
        <f>AND(#REF!,"AAAAAH/vn/Q=")</f>
        <v>#REF!</v>
      </c>
      <c r="IL7" t="e">
        <f>IF(#REF!,"AAAAAH/vn/U=",0)</f>
        <v>#REF!</v>
      </c>
      <c r="IM7" t="e">
        <f>AND(#REF!,"AAAAAH/vn/Y=")</f>
        <v>#REF!</v>
      </c>
      <c r="IN7" t="e">
        <f>AND(#REF!,"AAAAAH/vn/c=")</f>
        <v>#REF!</v>
      </c>
      <c r="IO7" t="e">
        <f>AND(#REF!,"AAAAAH/vn/g=")</f>
        <v>#REF!</v>
      </c>
      <c r="IP7" t="e">
        <f>AND(#REF!,"AAAAAH/vn/k=")</f>
        <v>#REF!</v>
      </c>
      <c r="IQ7" t="e">
        <f>AND(#REF!,"AAAAAH/vn/o=")</f>
        <v>#REF!</v>
      </c>
      <c r="IR7" t="e">
        <f>AND(#REF!,"AAAAAH/vn/s=")</f>
        <v>#REF!</v>
      </c>
      <c r="IS7" t="e">
        <f>AND(#REF!,"AAAAAH/vn/w=")</f>
        <v>#REF!</v>
      </c>
      <c r="IT7" t="e">
        <f>AND(#REF!,"AAAAAH/vn/0=")</f>
        <v>#REF!</v>
      </c>
      <c r="IU7" t="e">
        <f>AND(#REF!,"AAAAAH/vn/4=")</f>
        <v>#REF!</v>
      </c>
      <c r="IV7" t="e">
        <f>AND(#REF!,"AAAAAH/vn/8=")</f>
        <v>#REF!</v>
      </c>
    </row>
    <row r="8" spans="1:256" x14ac:dyDescent="0.2">
      <c r="A8" t="e">
        <f>AND(#REF!,"AAAAAG5+7wA=")</f>
        <v>#REF!</v>
      </c>
      <c r="B8" t="e">
        <f>AND(#REF!,"AAAAAG5+7wE=")</f>
        <v>#REF!</v>
      </c>
      <c r="C8" t="e">
        <f>AND(#REF!,"AAAAAG5+7wI=")</f>
        <v>#REF!</v>
      </c>
      <c r="D8" t="e">
        <f>AND(#REF!,"AAAAAG5+7wM=")</f>
        <v>#REF!</v>
      </c>
      <c r="E8" t="e">
        <f>AND(#REF!,"AAAAAG5+7wQ=")</f>
        <v>#REF!</v>
      </c>
      <c r="F8" t="e">
        <f>AND(#REF!,"AAAAAG5+7wU=")</f>
        <v>#REF!</v>
      </c>
      <c r="G8" t="e">
        <f>AND(#REF!,"AAAAAG5+7wY=")</f>
        <v>#REF!</v>
      </c>
      <c r="H8" t="e">
        <f>AND(#REF!,"AAAAAG5+7wc=")</f>
        <v>#REF!</v>
      </c>
      <c r="I8" t="e">
        <f>AND(#REF!,"AAAAAG5+7wg=")</f>
        <v>#REF!</v>
      </c>
      <c r="J8" t="e">
        <f>AND(#REF!,"AAAAAG5+7wk=")</f>
        <v>#REF!</v>
      </c>
      <c r="K8" t="e">
        <f>AND(#REF!,"AAAAAG5+7wo=")</f>
        <v>#REF!</v>
      </c>
      <c r="L8" t="e">
        <f>AND(#REF!,"AAAAAG5+7ws=")</f>
        <v>#REF!</v>
      </c>
      <c r="M8" t="e">
        <f>AND(#REF!,"AAAAAG5+7ww=")</f>
        <v>#REF!</v>
      </c>
      <c r="N8" t="e">
        <f>AND(#REF!,"AAAAAG5+7w0=")</f>
        <v>#REF!</v>
      </c>
      <c r="O8" t="e">
        <f>AND(#REF!,"AAAAAG5+7w4=")</f>
        <v>#REF!</v>
      </c>
      <c r="P8" t="e">
        <f>AND(#REF!,"AAAAAG5+7w8=")</f>
        <v>#REF!</v>
      </c>
      <c r="Q8" t="e">
        <f>IF(#REF!,"AAAAAG5+7xA=",0)</f>
        <v>#REF!</v>
      </c>
      <c r="R8" t="e">
        <f>AND(#REF!,"AAAAAG5+7xE=")</f>
        <v>#REF!</v>
      </c>
      <c r="S8" t="e">
        <f>AND(#REF!,"AAAAAG5+7xI=")</f>
        <v>#REF!</v>
      </c>
      <c r="T8" t="e">
        <f>AND(#REF!,"AAAAAG5+7xM=")</f>
        <v>#REF!</v>
      </c>
      <c r="U8" t="e">
        <f>AND(#REF!,"AAAAAG5+7xQ=")</f>
        <v>#REF!</v>
      </c>
      <c r="V8" t="e">
        <f>AND(#REF!,"AAAAAG5+7xU=")</f>
        <v>#REF!</v>
      </c>
      <c r="W8" t="e">
        <f>AND(#REF!,"AAAAAG5+7xY=")</f>
        <v>#REF!</v>
      </c>
      <c r="X8" t="e">
        <f>AND(#REF!,"AAAAAG5+7xc=")</f>
        <v>#REF!</v>
      </c>
      <c r="Y8" t="e">
        <f>AND(#REF!,"AAAAAG5+7xg=")</f>
        <v>#REF!</v>
      </c>
      <c r="Z8" t="e">
        <f>AND(#REF!,"AAAAAG5+7xk=")</f>
        <v>#REF!</v>
      </c>
      <c r="AA8" t="e">
        <f>AND(#REF!,"AAAAAG5+7xo=")</f>
        <v>#REF!</v>
      </c>
      <c r="AB8" t="e">
        <f>AND(#REF!,"AAAAAG5+7xs=")</f>
        <v>#REF!</v>
      </c>
      <c r="AC8" t="e">
        <f>AND(#REF!,"AAAAAG5+7xw=")</f>
        <v>#REF!</v>
      </c>
      <c r="AD8" t="e">
        <f>AND(#REF!,"AAAAAG5+7x0=")</f>
        <v>#REF!</v>
      </c>
      <c r="AE8" t="e">
        <f>AND(#REF!,"AAAAAG5+7x4=")</f>
        <v>#REF!</v>
      </c>
      <c r="AF8" t="e">
        <f>AND(#REF!,"AAAAAG5+7x8=")</f>
        <v>#REF!</v>
      </c>
      <c r="AG8" t="e">
        <f>AND(#REF!,"AAAAAG5+7yA=")</f>
        <v>#REF!</v>
      </c>
      <c r="AH8" t="e">
        <f>AND(#REF!,"AAAAAG5+7yE=")</f>
        <v>#REF!</v>
      </c>
      <c r="AI8" t="e">
        <f>AND(#REF!,"AAAAAG5+7yI=")</f>
        <v>#REF!</v>
      </c>
      <c r="AJ8" t="e">
        <f>AND(#REF!,"AAAAAG5+7yM=")</f>
        <v>#REF!</v>
      </c>
      <c r="AK8" t="e">
        <f>AND(#REF!,"AAAAAG5+7yQ=")</f>
        <v>#REF!</v>
      </c>
      <c r="AL8" t="e">
        <f>AND(#REF!,"AAAAAG5+7yU=")</f>
        <v>#REF!</v>
      </c>
      <c r="AM8" t="e">
        <f>AND(#REF!,"AAAAAG5+7yY=")</f>
        <v>#REF!</v>
      </c>
      <c r="AN8" t="e">
        <f>AND(#REF!,"AAAAAG5+7yc=")</f>
        <v>#REF!</v>
      </c>
      <c r="AO8" t="e">
        <f>AND(#REF!,"AAAAAG5+7yg=")</f>
        <v>#REF!</v>
      </c>
      <c r="AP8" t="e">
        <f>AND(#REF!,"AAAAAG5+7yk=")</f>
        <v>#REF!</v>
      </c>
      <c r="AQ8" t="e">
        <f>AND(#REF!,"AAAAAG5+7yo=")</f>
        <v>#REF!</v>
      </c>
      <c r="AR8" t="e">
        <f>IF(#REF!,"AAAAAG5+7ys=",0)</f>
        <v>#REF!</v>
      </c>
      <c r="AS8" t="e">
        <f>AND(#REF!,"AAAAAG5+7yw=")</f>
        <v>#REF!</v>
      </c>
      <c r="AT8" t="e">
        <f>AND(#REF!,"AAAAAG5+7y0=")</f>
        <v>#REF!</v>
      </c>
      <c r="AU8" t="e">
        <f>AND(#REF!,"AAAAAG5+7y4=")</f>
        <v>#REF!</v>
      </c>
      <c r="AV8" t="e">
        <f>AND(#REF!,"AAAAAG5+7y8=")</f>
        <v>#REF!</v>
      </c>
      <c r="AW8" t="e">
        <f>AND(#REF!,"AAAAAG5+7zA=")</f>
        <v>#REF!</v>
      </c>
      <c r="AX8" t="e">
        <f>AND(#REF!,"AAAAAG5+7zE=")</f>
        <v>#REF!</v>
      </c>
      <c r="AY8" t="e">
        <f>AND(#REF!,"AAAAAG5+7zI=")</f>
        <v>#REF!</v>
      </c>
      <c r="AZ8" t="e">
        <f>AND(#REF!,"AAAAAG5+7zM=")</f>
        <v>#REF!</v>
      </c>
      <c r="BA8" t="e">
        <f>AND(#REF!,"AAAAAG5+7zQ=")</f>
        <v>#REF!</v>
      </c>
      <c r="BB8" t="e">
        <f>AND(#REF!,"AAAAAG5+7zU=")</f>
        <v>#REF!</v>
      </c>
      <c r="BC8" t="e">
        <f>AND(#REF!,"AAAAAG5+7zY=")</f>
        <v>#REF!</v>
      </c>
      <c r="BD8" t="e">
        <f>AND(#REF!,"AAAAAG5+7zc=")</f>
        <v>#REF!</v>
      </c>
      <c r="BE8" t="e">
        <f>AND(#REF!,"AAAAAG5+7zg=")</f>
        <v>#REF!</v>
      </c>
      <c r="BF8" t="e">
        <f>AND(#REF!,"AAAAAG5+7zk=")</f>
        <v>#REF!</v>
      </c>
      <c r="BG8" t="e">
        <f>AND(#REF!,"AAAAAG5+7zo=")</f>
        <v>#REF!</v>
      </c>
      <c r="BH8" t="e">
        <f>AND(#REF!,"AAAAAG5+7zs=")</f>
        <v>#REF!</v>
      </c>
      <c r="BI8" t="e">
        <f>AND(#REF!,"AAAAAG5+7zw=")</f>
        <v>#REF!</v>
      </c>
      <c r="BJ8" t="e">
        <f>AND(#REF!,"AAAAAG5+7z0=")</f>
        <v>#REF!</v>
      </c>
      <c r="BK8" t="e">
        <f>AND(#REF!,"AAAAAG5+7z4=")</f>
        <v>#REF!</v>
      </c>
      <c r="BL8" t="e">
        <f>AND(#REF!,"AAAAAG5+7z8=")</f>
        <v>#REF!</v>
      </c>
      <c r="BM8" t="e">
        <f>AND(#REF!,"AAAAAG5+70A=")</f>
        <v>#REF!</v>
      </c>
      <c r="BN8" t="e">
        <f>AND(#REF!,"AAAAAG5+70E=")</f>
        <v>#REF!</v>
      </c>
      <c r="BO8" t="e">
        <f>AND(#REF!,"AAAAAG5+70I=")</f>
        <v>#REF!</v>
      </c>
      <c r="BP8" t="e">
        <f>AND(#REF!,"AAAAAG5+70M=")</f>
        <v>#REF!</v>
      </c>
      <c r="BQ8" t="e">
        <f>AND(#REF!,"AAAAAG5+70Q=")</f>
        <v>#REF!</v>
      </c>
      <c r="BR8" t="e">
        <f>AND(#REF!,"AAAAAG5+70U=")</f>
        <v>#REF!</v>
      </c>
      <c r="BS8" t="e">
        <f>IF(#REF!,"AAAAAG5+70Y=",0)</f>
        <v>#REF!</v>
      </c>
      <c r="BT8" t="e">
        <f>AND(#REF!,"AAAAAG5+70c=")</f>
        <v>#REF!</v>
      </c>
      <c r="BU8" t="e">
        <f>AND(#REF!,"AAAAAG5+70g=")</f>
        <v>#REF!</v>
      </c>
      <c r="BV8" t="e">
        <f>AND(#REF!,"AAAAAG5+70k=")</f>
        <v>#REF!</v>
      </c>
      <c r="BW8" t="e">
        <f>AND(#REF!,"AAAAAG5+70o=")</f>
        <v>#REF!</v>
      </c>
      <c r="BX8" t="e">
        <f>AND(#REF!,"AAAAAG5+70s=")</f>
        <v>#REF!</v>
      </c>
      <c r="BY8" t="e">
        <f>AND(#REF!,"AAAAAG5+70w=")</f>
        <v>#REF!</v>
      </c>
      <c r="BZ8" t="e">
        <f>AND(#REF!,"AAAAAG5+700=")</f>
        <v>#REF!</v>
      </c>
      <c r="CA8" t="e">
        <f>AND(#REF!,"AAAAAG5+704=")</f>
        <v>#REF!</v>
      </c>
      <c r="CB8" t="e">
        <f>AND(#REF!,"AAAAAG5+708=")</f>
        <v>#REF!</v>
      </c>
      <c r="CC8" t="e">
        <f>AND(#REF!,"AAAAAG5+71A=")</f>
        <v>#REF!</v>
      </c>
      <c r="CD8" t="e">
        <f>AND(#REF!,"AAAAAG5+71E=")</f>
        <v>#REF!</v>
      </c>
      <c r="CE8" t="e">
        <f>AND(#REF!,"AAAAAG5+71I=")</f>
        <v>#REF!</v>
      </c>
      <c r="CF8" t="e">
        <f>AND(#REF!,"AAAAAG5+71M=")</f>
        <v>#REF!</v>
      </c>
      <c r="CG8" t="e">
        <f>AND(#REF!,"AAAAAG5+71Q=")</f>
        <v>#REF!</v>
      </c>
      <c r="CH8" t="e">
        <f>AND(#REF!,"AAAAAG5+71U=")</f>
        <v>#REF!</v>
      </c>
      <c r="CI8" t="e">
        <f>AND(#REF!,"AAAAAG5+71Y=")</f>
        <v>#REF!</v>
      </c>
      <c r="CJ8" t="e">
        <f>AND(#REF!,"AAAAAG5+71c=")</f>
        <v>#REF!</v>
      </c>
      <c r="CK8" t="e">
        <f>AND(#REF!,"AAAAAG5+71g=")</f>
        <v>#REF!</v>
      </c>
      <c r="CL8" t="e">
        <f>AND(#REF!,"AAAAAG5+71k=")</f>
        <v>#REF!</v>
      </c>
      <c r="CM8" t="e">
        <f>AND(#REF!,"AAAAAG5+71o=")</f>
        <v>#REF!</v>
      </c>
      <c r="CN8" t="e">
        <f>AND(#REF!,"AAAAAG5+71s=")</f>
        <v>#REF!</v>
      </c>
      <c r="CO8" t="e">
        <f>AND(#REF!,"AAAAAG5+71w=")</f>
        <v>#REF!</v>
      </c>
      <c r="CP8" t="e">
        <f>AND(#REF!,"AAAAAG5+710=")</f>
        <v>#REF!</v>
      </c>
      <c r="CQ8" t="e">
        <f>AND(#REF!,"AAAAAG5+714=")</f>
        <v>#REF!</v>
      </c>
      <c r="CR8" t="e">
        <f>AND(#REF!,"AAAAAG5+718=")</f>
        <v>#REF!</v>
      </c>
      <c r="CS8" t="e">
        <f>AND(#REF!,"AAAAAG5+72A=")</f>
        <v>#REF!</v>
      </c>
      <c r="CT8" t="e">
        <f>IF(#REF!,"AAAAAG5+72E=",0)</f>
        <v>#REF!</v>
      </c>
      <c r="CU8" t="e">
        <f>AND(#REF!,"AAAAAG5+72I=")</f>
        <v>#REF!</v>
      </c>
      <c r="CV8" t="e">
        <f>AND(#REF!,"AAAAAG5+72M=")</f>
        <v>#REF!</v>
      </c>
      <c r="CW8" t="e">
        <f>AND(#REF!,"AAAAAG5+72Q=")</f>
        <v>#REF!</v>
      </c>
      <c r="CX8" t="e">
        <f>AND(#REF!,"AAAAAG5+72U=")</f>
        <v>#REF!</v>
      </c>
      <c r="CY8" t="e">
        <f>AND(#REF!,"AAAAAG5+72Y=")</f>
        <v>#REF!</v>
      </c>
      <c r="CZ8" t="e">
        <f>AND(#REF!,"AAAAAG5+72c=")</f>
        <v>#REF!</v>
      </c>
      <c r="DA8" t="e">
        <f>AND(#REF!,"AAAAAG5+72g=")</f>
        <v>#REF!</v>
      </c>
      <c r="DB8" t="e">
        <f>AND(#REF!,"AAAAAG5+72k=")</f>
        <v>#REF!</v>
      </c>
      <c r="DC8" t="e">
        <f>AND(#REF!,"AAAAAG5+72o=")</f>
        <v>#REF!</v>
      </c>
      <c r="DD8" t="e">
        <f>AND(#REF!,"AAAAAG5+72s=")</f>
        <v>#REF!</v>
      </c>
      <c r="DE8" t="e">
        <f>AND(#REF!,"AAAAAG5+72w=")</f>
        <v>#REF!</v>
      </c>
      <c r="DF8" t="e">
        <f>AND(#REF!,"AAAAAG5+720=")</f>
        <v>#REF!</v>
      </c>
      <c r="DG8" t="e">
        <f>AND(#REF!,"AAAAAG5+724=")</f>
        <v>#REF!</v>
      </c>
      <c r="DH8" t="e">
        <f>AND(#REF!,"AAAAAG5+728=")</f>
        <v>#REF!</v>
      </c>
      <c r="DI8" t="e">
        <f>AND(#REF!,"AAAAAG5+73A=")</f>
        <v>#REF!</v>
      </c>
      <c r="DJ8" t="e">
        <f>AND(#REF!,"AAAAAG5+73E=")</f>
        <v>#REF!</v>
      </c>
      <c r="DK8" t="e">
        <f>AND(#REF!,"AAAAAG5+73I=")</f>
        <v>#REF!</v>
      </c>
      <c r="DL8" t="e">
        <f>AND(#REF!,"AAAAAG5+73M=")</f>
        <v>#REF!</v>
      </c>
      <c r="DM8" t="e">
        <f>AND(#REF!,"AAAAAG5+73Q=")</f>
        <v>#REF!</v>
      </c>
      <c r="DN8" t="e">
        <f>AND(#REF!,"AAAAAG5+73U=")</f>
        <v>#REF!</v>
      </c>
      <c r="DO8" t="e">
        <f>AND(#REF!,"AAAAAG5+73Y=")</f>
        <v>#REF!</v>
      </c>
      <c r="DP8" t="e">
        <f>AND(#REF!,"AAAAAG5+73c=")</f>
        <v>#REF!</v>
      </c>
      <c r="DQ8" t="e">
        <f>AND(#REF!,"AAAAAG5+73g=")</f>
        <v>#REF!</v>
      </c>
      <c r="DR8" t="e">
        <f>AND(#REF!,"AAAAAG5+73k=")</f>
        <v>#REF!</v>
      </c>
      <c r="DS8" t="e">
        <f>AND(#REF!,"AAAAAG5+73o=")</f>
        <v>#REF!</v>
      </c>
      <c r="DT8" t="e">
        <f>AND(#REF!,"AAAAAG5+73s=")</f>
        <v>#REF!</v>
      </c>
      <c r="DU8" t="e">
        <f>IF(#REF!,"AAAAAG5+73w=",0)</f>
        <v>#REF!</v>
      </c>
      <c r="DV8" t="e">
        <f>AND(#REF!,"AAAAAG5+730=")</f>
        <v>#REF!</v>
      </c>
      <c r="DW8" t="e">
        <f>AND(#REF!,"AAAAAG5+734=")</f>
        <v>#REF!</v>
      </c>
      <c r="DX8" t="e">
        <f>AND(#REF!,"AAAAAG5+738=")</f>
        <v>#REF!</v>
      </c>
      <c r="DY8" t="e">
        <f>AND(#REF!,"AAAAAG5+74A=")</f>
        <v>#REF!</v>
      </c>
      <c r="DZ8" t="e">
        <f>AND(#REF!,"AAAAAG5+74E=")</f>
        <v>#REF!</v>
      </c>
      <c r="EA8" t="e">
        <f>AND(#REF!,"AAAAAG5+74I=")</f>
        <v>#REF!</v>
      </c>
      <c r="EB8" t="e">
        <f>AND(#REF!,"AAAAAG5+74M=")</f>
        <v>#REF!</v>
      </c>
      <c r="EC8" t="e">
        <f>AND(#REF!,"AAAAAG5+74Q=")</f>
        <v>#REF!</v>
      </c>
      <c r="ED8" t="e">
        <f>AND(#REF!,"AAAAAG5+74U=")</f>
        <v>#REF!</v>
      </c>
      <c r="EE8" t="e">
        <f>AND(#REF!,"AAAAAG5+74Y=")</f>
        <v>#REF!</v>
      </c>
      <c r="EF8" t="e">
        <f>AND(#REF!,"AAAAAG5+74c=")</f>
        <v>#REF!</v>
      </c>
      <c r="EG8" t="e">
        <f>AND(#REF!,"AAAAAG5+74g=")</f>
        <v>#REF!</v>
      </c>
      <c r="EH8" t="e">
        <f>AND(#REF!,"AAAAAG5+74k=")</f>
        <v>#REF!</v>
      </c>
      <c r="EI8" t="e">
        <f>AND(#REF!,"AAAAAG5+74o=")</f>
        <v>#REF!</v>
      </c>
      <c r="EJ8" t="e">
        <f>AND(#REF!,"AAAAAG5+74s=")</f>
        <v>#REF!</v>
      </c>
      <c r="EK8" t="e">
        <f>AND(#REF!,"AAAAAG5+74w=")</f>
        <v>#REF!</v>
      </c>
      <c r="EL8" t="e">
        <f>AND(#REF!,"AAAAAG5+740=")</f>
        <v>#REF!</v>
      </c>
      <c r="EM8" t="e">
        <f>AND(#REF!,"AAAAAG5+744=")</f>
        <v>#REF!</v>
      </c>
      <c r="EN8" t="e">
        <f>AND(#REF!,"AAAAAG5+748=")</f>
        <v>#REF!</v>
      </c>
      <c r="EO8" t="e">
        <f>AND(#REF!,"AAAAAG5+75A=")</f>
        <v>#REF!</v>
      </c>
      <c r="EP8" t="e">
        <f>AND(#REF!,"AAAAAG5+75E=")</f>
        <v>#REF!</v>
      </c>
      <c r="EQ8" t="e">
        <f>AND(#REF!,"AAAAAG5+75I=")</f>
        <v>#REF!</v>
      </c>
      <c r="ER8" t="e">
        <f>AND(#REF!,"AAAAAG5+75M=")</f>
        <v>#REF!</v>
      </c>
      <c r="ES8" t="e">
        <f>AND(#REF!,"AAAAAG5+75Q=")</f>
        <v>#REF!</v>
      </c>
      <c r="ET8" t="e">
        <f>AND(#REF!,"AAAAAG5+75U=")</f>
        <v>#REF!</v>
      </c>
      <c r="EU8" t="e">
        <f>AND(#REF!,"AAAAAG5+75Y=")</f>
        <v>#REF!</v>
      </c>
      <c r="EV8" t="e">
        <f>IF(#REF!,"AAAAAG5+75c=",0)</f>
        <v>#REF!</v>
      </c>
      <c r="EW8" t="e">
        <f>AND(#REF!,"AAAAAG5+75g=")</f>
        <v>#REF!</v>
      </c>
      <c r="EX8" t="e">
        <f>AND(#REF!,"AAAAAG5+75k=")</f>
        <v>#REF!</v>
      </c>
      <c r="EY8" t="e">
        <f>AND(#REF!,"AAAAAG5+75o=")</f>
        <v>#REF!</v>
      </c>
      <c r="EZ8" t="e">
        <f>AND(#REF!,"AAAAAG5+75s=")</f>
        <v>#REF!</v>
      </c>
      <c r="FA8" t="e">
        <f>AND(#REF!,"AAAAAG5+75w=")</f>
        <v>#REF!</v>
      </c>
      <c r="FB8" t="e">
        <f>AND(#REF!,"AAAAAG5+750=")</f>
        <v>#REF!</v>
      </c>
      <c r="FC8" t="e">
        <f>AND(#REF!,"AAAAAG5+754=")</f>
        <v>#REF!</v>
      </c>
      <c r="FD8" t="e">
        <f>AND(#REF!,"AAAAAG5+758=")</f>
        <v>#REF!</v>
      </c>
      <c r="FE8" t="e">
        <f>AND(#REF!,"AAAAAG5+76A=")</f>
        <v>#REF!</v>
      </c>
      <c r="FF8" t="e">
        <f>AND(#REF!,"AAAAAG5+76E=")</f>
        <v>#REF!</v>
      </c>
      <c r="FG8" t="e">
        <f>AND(#REF!,"AAAAAG5+76I=")</f>
        <v>#REF!</v>
      </c>
      <c r="FH8" t="e">
        <f>AND(#REF!,"AAAAAG5+76M=")</f>
        <v>#REF!</v>
      </c>
      <c r="FI8" t="e">
        <f>AND(#REF!,"AAAAAG5+76Q=")</f>
        <v>#REF!</v>
      </c>
      <c r="FJ8" t="e">
        <f>AND(#REF!,"AAAAAG5+76U=")</f>
        <v>#REF!</v>
      </c>
      <c r="FK8" t="e">
        <f>AND(#REF!,"AAAAAG5+76Y=")</f>
        <v>#REF!</v>
      </c>
      <c r="FL8" t="e">
        <f>AND(#REF!,"AAAAAG5+76c=")</f>
        <v>#REF!</v>
      </c>
      <c r="FM8" t="e">
        <f>AND(#REF!,"AAAAAG5+76g=")</f>
        <v>#REF!</v>
      </c>
      <c r="FN8" t="e">
        <f>AND(#REF!,"AAAAAG5+76k=")</f>
        <v>#REF!</v>
      </c>
      <c r="FO8" t="e">
        <f>AND(#REF!,"AAAAAG5+76o=")</f>
        <v>#REF!</v>
      </c>
      <c r="FP8" t="e">
        <f>AND(#REF!,"AAAAAG5+76s=")</f>
        <v>#REF!</v>
      </c>
      <c r="FQ8" t="e">
        <f>AND(#REF!,"AAAAAG5+76w=")</f>
        <v>#REF!</v>
      </c>
      <c r="FR8" t="e">
        <f>AND(#REF!,"AAAAAG5+760=")</f>
        <v>#REF!</v>
      </c>
      <c r="FS8" t="e">
        <f>AND(#REF!,"AAAAAG5+764=")</f>
        <v>#REF!</v>
      </c>
      <c r="FT8" t="e">
        <f>AND(#REF!,"AAAAAG5+768=")</f>
        <v>#REF!</v>
      </c>
      <c r="FU8" t="e">
        <f>AND(#REF!,"AAAAAG5+77A=")</f>
        <v>#REF!</v>
      </c>
      <c r="FV8" t="e">
        <f>AND(#REF!,"AAAAAG5+77E=")</f>
        <v>#REF!</v>
      </c>
      <c r="FW8" t="e">
        <f>IF(#REF!,"AAAAAG5+77I=",0)</f>
        <v>#REF!</v>
      </c>
      <c r="FX8" t="e">
        <f>AND(#REF!,"AAAAAG5+77M=")</f>
        <v>#REF!</v>
      </c>
      <c r="FY8" t="e">
        <f>AND(#REF!,"AAAAAG5+77Q=")</f>
        <v>#REF!</v>
      </c>
      <c r="FZ8" t="e">
        <f>AND(#REF!,"AAAAAG5+77U=")</f>
        <v>#REF!</v>
      </c>
      <c r="GA8" t="e">
        <f>AND(#REF!,"AAAAAG5+77Y=")</f>
        <v>#REF!</v>
      </c>
      <c r="GB8" t="e">
        <f>AND(#REF!,"AAAAAG5+77c=")</f>
        <v>#REF!</v>
      </c>
      <c r="GC8" t="e">
        <f>AND(#REF!,"AAAAAG5+77g=")</f>
        <v>#REF!</v>
      </c>
      <c r="GD8" t="e">
        <f>AND(#REF!,"AAAAAG5+77k=")</f>
        <v>#REF!</v>
      </c>
      <c r="GE8" t="e">
        <f>AND(#REF!,"AAAAAG5+77o=")</f>
        <v>#REF!</v>
      </c>
      <c r="GF8" t="e">
        <f>AND(#REF!,"AAAAAG5+77s=")</f>
        <v>#REF!</v>
      </c>
      <c r="GG8" t="e">
        <f>AND(#REF!,"AAAAAG5+77w=")</f>
        <v>#REF!</v>
      </c>
      <c r="GH8" t="e">
        <f>AND(#REF!,"AAAAAG5+770=")</f>
        <v>#REF!</v>
      </c>
      <c r="GI8" t="e">
        <f>AND(#REF!,"AAAAAG5+774=")</f>
        <v>#REF!</v>
      </c>
      <c r="GJ8" t="e">
        <f>AND(#REF!,"AAAAAG5+778=")</f>
        <v>#REF!</v>
      </c>
      <c r="GK8" t="e">
        <f>AND(#REF!,"AAAAAG5+78A=")</f>
        <v>#REF!</v>
      </c>
      <c r="GL8" t="e">
        <f>AND(#REF!,"AAAAAG5+78E=")</f>
        <v>#REF!</v>
      </c>
      <c r="GM8" t="e">
        <f>AND(#REF!,"AAAAAG5+78I=")</f>
        <v>#REF!</v>
      </c>
      <c r="GN8" t="e">
        <f>AND(#REF!,"AAAAAG5+78M=")</f>
        <v>#REF!</v>
      </c>
      <c r="GO8" t="e">
        <f>AND(#REF!,"AAAAAG5+78Q=")</f>
        <v>#REF!</v>
      </c>
      <c r="GP8" t="e">
        <f>AND(#REF!,"AAAAAG5+78U=")</f>
        <v>#REF!</v>
      </c>
      <c r="GQ8" t="e">
        <f>AND(#REF!,"AAAAAG5+78Y=")</f>
        <v>#REF!</v>
      </c>
      <c r="GR8" t="e">
        <f>AND(#REF!,"AAAAAG5+78c=")</f>
        <v>#REF!</v>
      </c>
      <c r="GS8" t="e">
        <f>AND(#REF!,"AAAAAG5+78g=")</f>
        <v>#REF!</v>
      </c>
      <c r="GT8" t="e">
        <f>AND(#REF!,"AAAAAG5+78k=")</f>
        <v>#REF!</v>
      </c>
      <c r="GU8" t="e">
        <f>AND(#REF!,"AAAAAG5+78o=")</f>
        <v>#REF!</v>
      </c>
      <c r="GV8" t="e">
        <f>AND(#REF!,"AAAAAG5+78s=")</f>
        <v>#REF!</v>
      </c>
      <c r="GW8" t="e">
        <f>AND(#REF!,"AAAAAG5+78w=")</f>
        <v>#REF!</v>
      </c>
      <c r="GX8" t="e">
        <f>IF(#REF!,"AAAAAG5+780=",0)</f>
        <v>#REF!</v>
      </c>
      <c r="GY8" t="e">
        <f>AND(#REF!,"AAAAAG5+784=")</f>
        <v>#REF!</v>
      </c>
      <c r="GZ8" t="e">
        <f>AND(#REF!,"AAAAAG5+788=")</f>
        <v>#REF!</v>
      </c>
      <c r="HA8" t="e">
        <f>AND(#REF!,"AAAAAG5+79A=")</f>
        <v>#REF!</v>
      </c>
      <c r="HB8" t="e">
        <f>AND(#REF!,"AAAAAG5+79E=")</f>
        <v>#REF!</v>
      </c>
      <c r="HC8" t="e">
        <f>AND(#REF!,"AAAAAG5+79I=")</f>
        <v>#REF!</v>
      </c>
      <c r="HD8" t="e">
        <f>AND(#REF!,"AAAAAG5+79M=")</f>
        <v>#REF!</v>
      </c>
      <c r="HE8" t="e">
        <f>AND(#REF!,"AAAAAG5+79Q=")</f>
        <v>#REF!</v>
      </c>
      <c r="HF8" t="e">
        <f>AND(#REF!,"AAAAAG5+79U=")</f>
        <v>#REF!</v>
      </c>
      <c r="HG8" t="e">
        <f>AND(#REF!,"AAAAAG5+79Y=")</f>
        <v>#REF!</v>
      </c>
      <c r="HH8" t="e">
        <f>AND(#REF!,"AAAAAG5+79c=")</f>
        <v>#REF!</v>
      </c>
      <c r="HI8" t="e">
        <f>AND(#REF!,"AAAAAG5+79g=")</f>
        <v>#REF!</v>
      </c>
      <c r="HJ8" t="e">
        <f>AND(#REF!,"AAAAAG5+79k=")</f>
        <v>#REF!</v>
      </c>
      <c r="HK8" t="e">
        <f>AND(#REF!,"AAAAAG5+79o=")</f>
        <v>#REF!</v>
      </c>
      <c r="HL8" t="e">
        <f>AND(#REF!,"AAAAAG5+79s=")</f>
        <v>#REF!</v>
      </c>
      <c r="HM8" t="e">
        <f>AND(#REF!,"AAAAAG5+79w=")</f>
        <v>#REF!</v>
      </c>
      <c r="HN8" t="e">
        <f>AND(#REF!,"AAAAAG5+790=")</f>
        <v>#REF!</v>
      </c>
      <c r="HO8" t="e">
        <f>AND(#REF!,"AAAAAG5+794=")</f>
        <v>#REF!</v>
      </c>
      <c r="HP8" t="e">
        <f>AND(#REF!,"AAAAAG5+798=")</f>
        <v>#REF!</v>
      </c>
      <c r="HQ8" t="e">
        <f>AND(#REF!,"AAAAAG5+7+A=")</f>
        <v>#REF!</v>
      </c>
      <c r="HR8" t="e">
        <f>AND(#REF!,"AAAAAG5+7+E=")</f>
        <v>#REF!</v>
      </c>
      <c r="HS8" t="e">
        <f>AND(#REF!,"AAAAAG5+7+I=")</f>
        <v>#REF!</v>
      </c>
      <c r="HT8" t="e">
        <f>AND(#REF!,"AAAAAG5+7+M=")</f>
        <v>#REF!</v>
      </c>
      <c r="HU8" t="e">
        <f>AND(#REF!,"AAAAAG5+7+Q=")</f>
        <v>#REF!</v>
      </c>
      <c r="HV8" t="e">
        <f>AND(#REF!,"AAAAAG5+7+U=")</f>
        <v>#REF!</v>
      </c>
      <c r="HW8" t="e">
        <f>AND(#REF!,"AAAAAG5+7+Y=")</f>
        <v>#REF!</v>
      </c>
      <c r="HX8" t="e">
        <f>AND(#REF!,"AAAAAG5+7+c=")</f>
        <v>#REF!</v>
      </c>
      <c r="HY8" t="e">
        <f>IF(#REF!,"AAAAAG5+7+g=",0)</f>
        <v>#REF!</v>
      </c>
      <c r="HZ8" t="e">
        <f>AND(#REF!,"AAAAAG5+7+k=")</f>
        <v>#REF!</v>
      </c>
      <c r="IA8" t="e">
        <f>AND(#REF!,"AAAAAG5+7+o=")</f>
        <v>#REF!</v>
      </c>
      <c r="IB8" t="e">
        <f>AND(#REF!,"AAAAAG5+7+s=")</f>
        <v>#REF!</v>
      </c>
      <c r="IC8" t="e">
        <f>AND(#REF!,"AAAAAG5+7+w=")</f>
        <v>#REF!</v>
      </c>
      <c r="ID8" t="e">
        <f>AND(#REF!,"AAAAAG5+7+0=")</f>
        <v>#REF!</v>
      </c>
      <c r="IE8" t="e">
        <f>AND(#REF!,"AAAAAG5+7+4=")</f>
        <v>#REF!</v>
      </c>
      <c r="IF8" t="e">
        <f>AND(#REF!,"AAAAAG5+7+8=")</f>
        <v>#REF!</v>
      </c>
      <c r="IG8" t="e">
        <f>AND(#REF!,"AAAAAG5+7/A=")</f>
        <v>#REF!</v>
      </c>
      <c r="IH8" t="e">
        <f>AND(#REF!,"AAAAAG5+7/E=")</f>
        <v>#REF!</v>
      </c>
      <c r="II8" t="e">
        <f>AND(#REF!,"AAAAAG5+7/I=")</f>
        <v>#REF!</v>
      </c>
      <c r="IJ8" t="e">
        <f>AND(#REF!,"AAAAAG5+7/M=")</f>
        <v>#REF!</v>
      </c>
      <c r="IK8" t="e">
        <f>AND(#REF!,"AAAAAG5+7/Q=")</f>
        <v>#REF!</v>
      </c>
      <c r="IL8" t="e">
        <f>AND(#REF!,"AAAAAG5+7/U=")</f>
        <v>#REF!</v>
      </c>
      <c r="IM8" t="e">
        <f>AND(#REF!,"AAAAAG5+7/Y=")</f>
        <v>#REF!</v>
      </c>
      <c r="IN8" t="e">
        <f>AND(#REF!,"AAAAAG5+7/c=")</f>
        <v>#REF!</v>
      </c>
      <c r="IO8" t="e">
        <f>AND(#REF!,"AAAAAG5+7/g=")</f>
        <v>#REF!</v>
      </c>
      <c r="IP8" t="e">
        <f>AND(#REF!,"AAAAAG5+7/k=")</f>
        <v>#REF!</v>
      </c>
      <c r="IQ8" t="e">
        <f>AND(#REF!,"AAAAAG5+7/o=")</f>
        <v>#REF!</v>
      </c>
      <c r="IR8" t="e">
        <f>AND(#REF!,"AAAAAG5+7/s=")</f>
        <v>#REF!</v>
      </c>
      <c r="IS8" t="e">
        <f>AND(#REF!,"AAAAAG5+7/w=")</f>
        <v>#REF!</v>
      </c>
      <c r="IT8" t="e">
        <f>AND(#REF!,"AAAAAG5+7/0=")</f>
        <v>#REF!</v>
      </c>
      <c r="IU8" t="e">
        <f>AND(#REF!,"AAAAAG5+7/4=")</f>
        <v>#REF!</v>
      </c>
      <c r="IV8" t="e">
        <f>AND(#REF!,"AAAAAG5+7/8=")</f>
        <v>#REF!</v>
      </c>
    </row>
    <row r="9" spans="1:256" x14ac:dyDescent="0.2">
      <c r="A9" t="e">
        <f>AND(#REF!,"AAAAAB/HvwA=")</f>
        <v>#REF!</v>
      </c>
      <c r="B9" t="e">
        <f>AND(#REF!,"AAAAAB/HvwE=")</f>
        <v>#REF!</v>
      </c>
      <c r="C9" t="e">
        <f>AND(#REF!,"AAAAAB/HvwI=")</f>
        <v>#REF!</v>
      </c>
      <c r="D9" t="e">
        <f>IF(#REF!,"AAAAAB/HvwM=",0)</f>
        <v>#REF!</v>
      </c>
      <c r="E9" t="e">
        <f>AND(#REF!,"AAAAAB/HvwQ=")</f>
        <v>#REF!</v>
      </c>
      <c r="F9" t="e">
        <f>AND(#REF!,"AAAAAB/HvwU=")</f>
        <v>#REF!</v>
      </c>
      <c r="G9" t="e">
        <f>AND(#REF!,"AAAAAB/HvwY=")</f>
        <v>#REF!</v>
      </c>
      <c r="H9" t="e">
        <f>AND(#REF!,"AAAAAB/Hvwc=")</f>
        <v>#REF!</v>
      </c>
      <c r="I9" t="e">
        <f>AND(#REF!,"AAAAAB/Hvwg=")</f>
        <v>#REF!</v>
      </c>
      <c r="J9" t="e">
        <f>AND(#REF!,"AAAAAB/Hvwk=")</f>
        <v>#REF!</v>
      </c>
      <c r="K9" t="e">
        <f>AND(#REF!,"AAAAAB/Hvwo=")</f>
        <v>#REF!</v>
      </c>
      <c r="L9" t="e">
        <f>AND(#REF!,"AAAAAB/Hvws=")</f>
        <v>#REF!</v>
      </c>
      <c r="M9" t="e">
        <f>AND(#REF!,"AAAAAB/Hvww=")</f>
        <v>#REF!</v>
      </c>
      <c r="N9" t="e">
        <f>AND(#REF!,"AAAAAB/Hvw0=")</f>
        <v>#REF!</v>
      </c>
      <c r="O9" t="e">
        <f>AND(#REF!,"AAAAAB/Hvw4=")</f>
        <v>#REF!</v>
      </c>
      <c r="P9" t="e">
        <f>AND(#REF!,"AAAAAB/Hvw8=")</f>
        <v>#REF!</v>
      </c>
      <c r="Q9" t="e">
        <f>AND(#REF!,"AAAAAB/HvxA=")</f>
        <v>#REF!</v>
      </c>
      <c r="R9" t="e">
        <f>AND(#REF!,"AAAAAB/HvxE=")</f>
        <v>#REF!</v>
      </c>
      <c r="S9" t="e">
        <f>AND(#REF!,"AAAAAB/HvxI=")</f>
        <v>#REF!</v>
      </c>
      <c r="T9" t="e">
        <f>AND(#REF!,"AAAAAB/HvxM=")</f>
        <v>#REF!</v>
      </c>
      <c r="U9" t="e">
        <f>AND(#REF!,"AAAAAB/HvxQ=")</f>
        <v>#REF!</v>
      </c>
      <c r="V9" t="e">
        <f>AND(#REF!,"AAAAAB/HvxU=")</f>
        <v>#REF!</v>
      </c>
      <c r="W9" t="e">
        <f>AND(#REF!,"AAAAAB/HvxY=")</f>
        <v>#REF!</v>
      </c>
      <c r="X9" t="e">
        <f>AND(#REF!,"AAAAAB/Hvxc=")</f>
        <v>#REF!</v>
      </c>
      <c r="Y9" t="e">
        <f>AND(#REF!,"AAAAAB/Hvxg=")</f>
        <v>#REF!</v>
      </c>
      <c r="Z9" t="e">
        <f>AND(#REF!,"AAAAAB/Hvxk=")</f>
        <v>#REF!</v>
      </c>
      <c r="AA9" t="e">
        <f>AND(#REF!,"AAAAAB/Hvxo=")</f>
        <v>#REF!</v>
      </c>
      <c r="AB9" t="e">
        <f>AND(#REF!,"AAAAAB/Hvxs=")</f>
        <v>#REF!</v>
      </c>
      <c r="AC9" t="e">
        <f>AND(#REF!,"AAAAAB/Hvxw=")</f>
        <v>#REF!</v>
      </c>
      <c r="AD9" t="e">
        <f>AND(#REF!,"AAAAAB/Hvx0=")</f>
        <v>#REF!</v>
      </c>
      <c r="AE9" t="e">
        <f>IF(#REF!,"AAAAAB/Hvx4=",0)</f>
        <v>#REF!</v>
      </c>
      <c r="AF9" t="e">
        <f>AND(#REF!,"AAAAAB/Hvx8=")</f>
        <v>#REF!</v>
      </c>
      <c r="AG9" t="e">
        <f>AND(#REF!,"AAAAAB/HvyA=")</f>
        <v>#REF!</v>
      </c>
      <c r="AH9" t="e">
        <f>AND(#REF!,"AAAAAB/HvyE=")</f>
        <v>#REF!</v>
      </c>
      <c r="AI9" t="e">
        <f>AND(#REF!,"AAAAAB/HvyI=")</f>
        <v>#REF!</v>
      </c>
      <c r="AJ9" t="e">
        <f>AND(#REF!,"AAAAAB/HvyM=")</f>
        <v>#REF!</v>
      </c>
      <c r="AK9" t="e">
        <f>AND(#REF!,"AAAAAB/HvyQ=")</f>
        <v>#REF!</v>
      </c>
      <c r="AL9" t="e">
        <f>AND(#REF!,"AAAAAB/HvyU=")</f>
        <v>#REF!</v>
      </c>
      <c r="AM9" t="e">
        <f>AND(#REF!,"AAAAAB/HvyY=")</f>
        <v>#REF!</v>
      </c>
      <c r="AN9" t="e">
        <f>AND(#REF!,"AAAAAB/Hvyc=")</f>
        <v>#REF!</v>
      </c>
      <c r="AO9" t="e">
        <f>AND(#REF!,"AAAAAB/Hvyg=")</f>
        <v>#REF!</v>
      </c>
      <c r="AP9" t="e">
        <f>AND(#REF!,"AAAAAB/Hvyk=")</f>
        <v>#REF!</v>
      </c>
      <c r="AQ9" t="e">
        <f>AND(#REF!,"AAAAAB/Hvyo=")</f>
        <v>#REF!</v>
      </c>
      <c r="AR9" t="e">
        <f>AND(#REF!,"AAAAAB/Hvys=")</f>
        <v>#REF!</v>
      </c>
      <c r="AS9" t="e">
        <f>AND(#REF!,"AAAAAB/Hvyw=")</f>
        <v>#REF!</v>
      </c>
      <c r="AT9" t="e">
        <f>AND(#REF!,"AAAAAB/Hvy0=")</f>
        <v>#REF!</v>
      </c>
      <c r="AU9" t="e">
        <f>AND(#REF!,"AAAAAB/Hvy4=")</f>
        <v>#REF!</v>
      </c>
      <c r="AV9" t="e">
        <f>AND(#REF!,"AAAAAB/Hvy8=")</f>
        <v>#REF!</v>
      </c>
      <c r="AW9" t="e">
        <f>AND(#REF!,"AAAAAB/HvzA=")</f>
        <v>#REF!</v>
      </c>
      <c r="AX9" t="e">
        <f>AND(#REF!,"AAAAAB/HvzE=")</f>
        <v>#REF!</v>
      </c>
      <c r="AY9" t="e">
        <f>AND(#REF!,"AAAAAB/HvzI=")</f>
        <v>#REF!</v>
      </c>
      <c r="AZ9" t="e">
        <f>AND(#REF!,"AAAAAB/HvzM=")</f>
        <v>#REF!</v>
      </c>
      <c r="BA9" t="e">
        <f>AND(#REF!,"AAAAAB/HvzQ=")</f>
        <v>#REF!</v>
      </c>
      <c r="BB9" t="e">
        <f>AND(#REF!,"AAAAAB/HvzU=")</f>
        <v>#REF!</v>
      </c>
      <c r="BC9" t="e">
        <f>AND(#REF!,"AAAAAB/HvzY=")</f>
        <v>#REF!</v>
      </c>
      <c r="BD9" t="e">
        <f>AND(#REF!,"AAAAAB/Hvzc=")</f>
        <v>#REF!</v>
      </c>
      <c r="BE9" t="e">
        <f>AND(#REF!,"AAAAAB/Hvzg=")</f>
        <v>#REF!</v>
      </c>
      <c r="BF9" t="e">
        <f>IF(#REF!,"AAAAAB/Hvzk=",0)</f>
        <v>#REF!</v>
      </c>
      <c r="BG9" t="e">
        <f>AND(#REF!,"AAAAAB/Hvzo=")</f>
        <v>#REF!</v>
      </c>
      <c r="BH9" t="e">
        <f>AND(#REF!,"AAAAAB/Hvzs=")</f>
        <v>#REF!</v>
      </c>
      <c r="BI9" t="e">
        <f>AND(#REF!,"AAAAAB/Hvzw=")</f>
        <v>#REF!</v>
      </c>
      <c r="BJ9" t="e">
        <f>AND(#REF!,"AAAAAB/Hvz0=")</f>
        <v>#REF!</v>
      </c>
      <c r="BK9" t="e">
        <f>AND(#REF!,"AAAAAB/Hvz4=")</f>
        <v>#REF!</v>
      </c>
      <c r="BL9" t="e">
        <f>AND(#REF!,"AAAAAB/Hvz8=")</f>
        <v>#REF!</v>
      </c>
      <c r="BM9" t="e">
        <f>AND(#REF!,"AAAAAB/Hv0A=")</f>
        <v>#REF!</v>
      </c>
      <c r="BN9" t="e">
        <f>AND(#REF!,"AAAAAB/Hv0E=")</f>
        <v>#REF!</v>
      </c>
      <c r="BO9" t="e">
        <f>AND(#REF!,"AAAAAB/Hv0I=")</f>
        <v>#REF!</v>
      </c>
      <c r="BP9" t="e">
        <f>AND(#REF!,"AAAAAB/Hv0M=")</f>
        <v>#REF!</v>
      </c>
      <c r="BQ9" t="e">
        <f>AND(#REF!,"AAAAAB/Hv0Q=")</f>
        <v>#REF!</v>
      </c>
      <c r="BR9" t="e">
        <f>AND(#REF!,"AAAAAB/Hv0U=")</f>
        <v>#REF!</v>
      </c>
      <c r="BS9" t="e">
        <f>AND(#REF!,"AAAAAB/Hv0Y=")</f>
        <v>#REF!</v>
      </c>
      <c r="BT9" t="e">
        <f>AND(#REF!,"AAAAAB/Hv0c=")</f>
        <v>#REF!</v>
      </c>
      <c r="BU9" t="e">
        <f>AND(#REF!,"AAAAAB/Hv0g=")</f>
        <v>#REF!</v>
      </c>
      <c r="BV9" t="e">
        <f>AND(#REF!,"AAAAAB/Hv0k=")</f>
        <v>#REF!</v>
      </c>
      <c r="BW9" t="e">
        <f>AND(#REF!,"AAAAAB/Hv0o=")</f>
        <v>#REF!</v>
      </c>
      <c r="BX9" t="e">
        <f>AND(#REF!,"AAAAAB/Hv0s=")</f>
        <v>#REF!</v>
      </c>
      <c r="BY9" t="e">
        <f>AND(#REF!,"AAAAAB/Hv0w=")</f>
        <v>#REF!</v>
      </c>
      <c r="BZ9" t="e">
        <f>AND(#REF!,"AAAAAB/Hv00=")</f>
        <v>#REF!</v>
      </c>
      <c r="CA9" t="e">
        <f>AND(#REF!,"AAAAAB/Hv04=")</f>
        <v>#REF!</v>
      </c>
      <c r="CB9" t="e">
        <f>AND(#REF!,"AAAAAB/Hv08=")</f>
        <v>#REF!</v>
      </c>
      <c r="CC9" t="e">
        <f>AND(#REF!,"AAAAAB/Hv1A=")</f>
        <v>#REF!</v>
      </c>
      <c r="CD9" t="e">
        <f>AND(#REF!,"AAAAAB/Hv1E=")</f>
        <v>#REF!</v>
      </c>
      <c r="CE9" t="e">
        <f>AND(#REF!,"AAAAAB/Hv1I=")</f>
        <v>#REF!</v>
      </c>
      <c r="CF9" t="e">
        <f>AND(#REF!,"AAAAAB/Hv1M=")</f>
        <v>#REF!</v>
      </c>
      <c r="CG9" t="e">
        <f>IF(#REF!,"AAAAAB/Hv1Q=",0)</f>
        <v>#REF!</v>
      </c>
      <c r="CH9" t="e">
        <f>AND(#REF!,"AAAAAB/Hv1U=")</f>
        <v>#REF!</v>
      </c>
      <c r="CI9" t="e">
        <f>AND(#REF!,"AAAAAB/Hv1Y=")</f>
        <v>#REF!</v>
      </c>
      <c r="CJ9" t="e">
        <f>AND(#REF!,"AAAAAB/Hv1c=")</f>
        <v>#REF!</v>
      </c>
      <c r="CK9" t="e">
        <f>AND(#REF!,"AAAAAB/Hv1g=")</f>
        <v>#REF!</v>
      </c>
      <c r="CL9" t="e">
        <f>AND(#REF!,"AAAAAB/Hv1k=")</f>
        <v>#REF!</v>
      </c>
      <c r="CM9" t="e">
        <f>AND(#REF!,"AAAAAB/Hv1o=")</f>
        <v>#REF!</v>
      </c>
      <c r="CN9" t="e">
        <f>AND(#REF!,"AAAAAB/Hv1s=")</f>
        <v>#REF!</v>
      </c>
      <c r="CO9" t="e">
        <f>AND(#REF!,"AAAAAB/Hv1w=")</f>
        <v>#REF!</v>
      </c>
      <c r="CP9" t="e">
        <f>AND(#REF!,"AAAAAB/Hv10=")</f>
        <v>#REF!</v>
      </c>
      <c r="CQ9" t="e">
        <f>AND(#REF!,"AAAAAB/Hv14=")</f>
        <v>#REF!</v>
      </c>
      <c r="CR9" t="e">
        <f>AND(#REF!,"AAAAAB/Hv18=")</f>
        <v>#REF!</v>
      </c>
      <c r="CS9" t="e">
        <f>AND(#REF!,"AAAAAB/Hv2A=")</f>
        <v>#REF!</v>
      </c>
      <c r="CT9" t="e">
        <f>AND(#REF!,"AAAAAB/Hv2E=")</f>
        <v>#REF!</v>
      </c>
      <c r="CU9" t="e">
        <f>AND(#REF!,"AAAAAB/Hv2I=")</f>
        <v>#REF!</v>
      </c>
      <c r="CV9" t="e">
        <f>AND(#REF!,"AAAAAB/Hv2M=")</f>
        <v>#REF!</v>
      </c>
      <c r="CW9" t="e">
        <f>AND(#REF!,"AAAAAB/Hv2Q=")</f>
        <v>#REF!</v>
      </c>
      <c r="CX9" t="e">
        <f>AND(#REF!,"AAAAAB/Hv2U=")</f>
        <v>#REF!</v>
      </c>
      <c r="CY9" t="e">
        <f>AND(#REF!,"AAAAAB/Hv2Y=")</f>
        <v>#REF!</v>
      </c>
      <c r="CZ9" t="e">
        <f>AND(#REF!,"AAAAAB/Hv2c=")</f>
        <v>#REF!</v>
      </c>
      <c r="DA9" t="e">
        <f>AND(#REF!,"AAAAAB/Hv2g=")</f>
        <v>#REF!</v>
      </c>
      <c r="DB9" t="e">
        <f>AND(#REF!,"AAAAAB/Hv2k=")</f>
        <v>#REF!</v>
      </c>
      <c r="DC9" t="e">
        <f>AND(#REF!,"AAAAAB/Hv2o=")</f>
        <v>#REF!</v>
      </c>
      <c r="DD9" t="e">
        <f>AND(#REF!,"AAAAAB/Hv2s=")</f>
        <v>#REF!</v>
      </c>
      <c r="DE9" t="e">
        <f>AND(#REF!,"AAAAAB/Hv2w=")</f>
        <v>#REF!</v>
      </c>
      <c r="DF9" t="e">
        <f>AND(#REF!,"AAAAAB/Hv20=")</f>
        <v>#REF!</v>
      </c>
      <c r="DG9" t="e">
        <f>AND(#REF!,"AAAAAB/Hv24=")</f>
        <v>#REF!</v>
      </c>
      <c r="DH9" t="e">
        <f>IF(#REF!,"AAAAAB/Hv28=",0)</f>
        <v>#REF!</v>
      </c>
      <c r="DI9" t="e">
        <f>AND(#REF!,"AAAAAB/Hv3A=")</f>
        <v>#REF!</v>
      </c>
      <c r="DJ9" t="e">
        <f>AND(#REF!,"AAAAAB/Hv3E=")</f>
        <v>#REF!</v>
      </c>
      <c r="DK9" t="e">
        <f>AND(#REF!,"AAAAAB/Hv3I=")</f>
        <v>#REF!</v>
      </c>
      <c r="DL9" t="e">
        <f>AND(#REF!,"AAAAAB/Hv3M=")</f>
        <v>#REF!</v>
      </c>
      <c r="DM9" t="e">
        <f>AND(#REF!,"AAAAAB/Hv3Q=")</f>
        <v>#REF!</v>
      </c>
      <c r="DN9" t="e">
        <f>AND(#REF!,"AAAAAB/Hv3U=")</f>
        <v>#REF!</v>
      </c>
      <c r="DO9" t="e">
        <f>AND(#REF!,"AAAAAB/Hv3Y=")</f>
        <v>#REF!</v>
      </c>
      <c r="DP9" t="e">
        <f>AND(#REF!,"AAAAAB/Hv3c=")</f>
        <v>#REF!</v>
      </c>
      <c r="DQ9" t="e">
        <f>AND(#REF!,"AAAAAB/Hv3g=")</f>
        <v>#REF!</v>
      </c>
      <c r="DR9" t="e">
        <f>AND(#REF!,"AAAAAB/Hv3k=")</f>
        <v>#REF!</v>
      </c>
      <c r="DS9" t="e">
        <f>AND(#REF!,"AAAAAB/Hv3o=")</f>
        <v>#REF!</v>
      </c>
      <c r="DT9" t="e">
        <f>AND(#REF!,"AAAAAB/Hv3s=")</f>
        <v>#REF!</v>
      </c>
      <c r="DU9" t="e">
        <f>AND(#REF!,"AAAAAB/Hv3w=")</f>
        <v>#REF!</v>
      </c>
      <c r="DV9" t="e">
        <f>AND(#REF!,"AAAAAB/Hv30=")</f>
        <v>#REF!</v>
      </c>
      <c r="DW9" t="e">
        <f>AND(#REF!,"AAAAAB/Hv34=")</f>
        <v>#REF!</v>
      </c>
      <c r="DX9" t="e">
        <f>AND(#REF!,"AAAAAB/Hv38=")</f>
        <v>#REF!</v>
      </c>
      <c r="DY9" t="e">
        <f>AND(#REF!,"AAAAAB/Hv4A=")</f>
        <v>#REF!</v>
      </c>
      <c r="DZ9" t="e">
        <f>AND(#REF!,"AAAAAB/Hv4E=")</f>
        <v>#REF!</v>
      </c>
      <c r="EA9" t="e">
        <f>AND(#REF!,"AAAAAB/Hv4I=")</f>
        <v>#REF!</v>
      </c>
      <c r="EB9" t="e">
        <f>AND(#REF!,"AAAAAB/Hv4M=")</f>
        <v>#REF!</v>
      </c>
      <c r="EC9" t="e">
        <f>AND(#REF!,"AAAAAB/Hv4Q=")</f>
        <v>#REF!</v>
      </c>
      <c r="ED9" t="e">
        <f>AND(#REF!,"AAAAAB/Hv4U=")</f>
        <v>#REF!</v>
      </c>
      <c r="EE9" t="e">
        <f>AND(#REF!,"AAAAAB/Hv4Y=")</f>
        <v>#REF!</v>
      </c>
      <c r="EF9" t="e">
        <f>AND(#REF!,"AAAAAB/Hv4c=")</f>
        <v>#REF!</v>
      </c>
      <c r="EG9" t="e">
        <f>AND(#REF!,"AAAAAB/Hv4g=")</f>
        <v>#REF!</v>
      </c>
      <c r="EH9" t="e">
        <f>AND(#REF!,"AAAAAB/Hv4k=")</f>
        <v>#REF!</v>
      </c>
      <c r="EI9" t="e">
        <f>IF(#REF!,"AAAAAB/Hv4o=",0)</f>
        <v>#REF!</v>
      </c>
      <c r="EJ9" t="e">
        <f>AND(#REF!,"AAAAAB/Hv4s=")</f>
        <v>#REF!</v>
      </c>
      <c r="EK9" t="e">
        <f>AND(#REF!,"AAAAAB/Hv4w=")</f>
        <v>#REF!</v>
      </c>
      <c r="EL9" t="e">
        <f>AND(#REF!,"AAAAAB/Hv40=")</f>
        <v>#REF!</v>
      </c>
      <c r="EM9" t="e">
        <f>AND(#REF!,"AAAAAB/Hv44=")</f>
        <v>#REF!</v>
      </c>
      <c r="EN9" t="e">
        <f>AND(#REF!,"AAAAAB/Hv48=")</f>
        <v>#REF!</v>
      </c>
      <c r="EO9" t="e">
        <f>AND(#REF!,"AAAAAB/Hv5A=")</f>
        <v>#REF!</v>
      </c>
      <c r="EP9" t="e">
        <f>AND(#REF!,"AAAAAB/Hv5E=")</f>
        <v>#REF!</v>
      </c>
      <c r="EQ9" t="e">
        <f>AND(#REF!,"AAAAAB/Hv5I=")</f>
        <v>#REF!</v>
      </c>
      <c r="ER9" t="e">
        <f>AND(#REF!,"AAAAAB/Hv5M=")</f>
        <v>#REF!</v>
      </c>
      <c r="ES9" t="e">
        <f>AND(#REF!,"AAAAAB/Hv5Q=")</f>
        <v>#REF!</v>
      </c>
      <c r="ET9" t="e">
        <f>AND(#REF!,"AAAAAB/Hv5U=")</f>
        <v>#REF!</v>
      </c>
      <c r="EU9" t="e">
        <f>AND(#REF!,"AAAAAB/Hv5Y=")</f>
        <v>#REF!</v>
      </c>
      <c r="EV9" t="e">
        <f>AND(#REF!,"AAAAAB/Hv5c=")</f>
        <v>#REF!</v>
      </c>
      <c r="EW9" t="e">
        <f>AND(#REF!,"AAAAAB/Hv5g=")</f>
        <v>#REF!</v>
      </c>
      <c r="EX9" t="e">
        <f>AND(#REF!,"AAAAAB/Hv5k=")</f>
        <v>#REF!</v>
      </c>
      <c r="EY9" t="e">
        <f>AND(#REF!,"AAAAAB/Hv5o=")</f>
        <v>#REF!</v>
      </c>
      <c r="EZ9" t="e">
        <f>AND(#REF!,"AAAAAB/Hv5s=")</f>
        <v>#REF!</v>
      </c>
      <c r="FA9" t="e">
        <f>AND(#REF!,"AAAAAB/Hv5w=")</f>
        <v>#REF!</v>
      </c>
      <c r="FB9" t="e">
        <f>AND(#REF!,"AAAAAB/Hv50=")</f>
        <v>#REF!</v>
      </c>
      <c r="FC9" t="e">
        <f>AND(#REF!,"AAAAAB/Hv54=")</f>
        <v>#REF!</v>
      </c>
      <c r="FD9" t="e">
        <f>AND(#REF!,"AAAAAB/Hv58=")</f>
        <v>#REF!</v>
      </c>
      <c r="FE9" t="e">
        <f>AND(#REF!,"AAAAAB/Hv6A=")</f>
        <v>#REF!</v>
      </c>
      <c r="FF9" t="e">
        <f>AND(#REF!,"AAAAAB/Hv6E=")</f>
        <v>#REF!</v>
      </c>
      <c r="FG9" t="e">
        <f>AND(#REF!,"AAAAAB/Hv6I=")</f>
        <v>#REF!</v>
      </c>
      <c r="FH9" t="e">
        <f>AND(#REF!,"AAAAAB/Hv6M=")</f>
        <v>#REF!</v>
      </c>
      <c r="FI9" t="e">
        <f>AND(#REF!,"AAAAAB/Hv6Q=")</f>
        <v>#REF!</v>
      </c>
      <c r="FJ9" t="e">
        <f>IF(#REF!,"AAAAAB/Hv6U=",0)</f>
        <v>#REF!</v>
      </c>
      <c r="FK9" t="e">
        <f>AND(#REF!,"AAAAAB/Hv6Y=")</f>
        <v>#REF!</v>
      </c>
      <c r="FL9" t="e">
        <f>AND(#REF!,"AAAAAB/Hv6c=")</f>
        <v>#REF!</v>
      </c>
      <c r="FM9" t="e">
        <f>AND(#REF!,"AAAAAB/Hv6g=")</f>
        <v>#REF!</v>
      </c>
      <c r="FN9" t="e">
        <f>AND(#REF!,"AAAAAB/Hv6k=")</f>
        <v>#REF!</v>
      </c>
      <c r="FO9" t="e">
        <f>AND(#REF!,"AAAAAB/Hv6o=")</f>
        <v>#REF!</v>
      </c>
      <c r="FP9" t="e">
        <f>AND(#REF!,"AAAAAB/Hv6s=")</f>
        <v>#REF!</v>
      </c>
      <c r="FQ9" t="e">
        <f>AND(#REF!,"AAAAAB/Hv6w=")</f>
        <v>#REF!</v>
      </c>
      <c r="FR9" t="e">
        <f>AND(#REF!,"AAAAAB/Hv60=")</f>
        <v>#REF!</v>
      </c>
      <c r="FS9" t="e">
        <f>AND(#REF!,"AAAAAB/Hv64=")</f>
        <v>#REF!</v>
      </c>
      <c r="FT9" t="e">
        <f>AND(#REF!,"AAAAAB/Hv68=")</f>
        <v>#REF!</v>
      </c>
      <c r="FU9" t="e">
        <f>AND(#REF!,"AAAAAB/Hv7A=")</f>
        <v>#REF!</v>
      </c>
      <c r="FV9" t="e">
        <f>AND(#REF!,"AAAAAB/Hv7E=")</f>
        <v>#REF!</v>
      </c>
      <c r="FW9" t="e">
        <f>AND(#REF!,"AAAAAB/Hv7I=")</f>
        <v>#REF!</v>
      </c>
      <c r="FX9" t="e">
        <f>AND(#REF!,"AAAAAB/Hv7M=")</f>
        <v>#REF!</v>
      </c>
      <c r="FY9" t="e">
        <f>AND(#REF!,"AAAAAB/Hv7Q=")</f>
        <v>#REF!</v>
      </c>
      <c r="FZ9" t="e">
        <f>AND(#REF!,"AAAAAB/Hv7U=")</f>
        <v>#REF!</v>
      </c>
      <c r="GA9" t="e">
        <f>AND(#REF!,"AAAAAB/Hv7Y=")</f>
        <v>#REF!</v>
      </c>
      <c r="GB9" t="e">
        <f>AND(#REF!,"AAAAAB/Hv7c=")</f>
        <v>#REF!</v>
      </c>
      <c r="GC9" t="e">
        <f>AND(#REF!,"AAAAAB/Hv7g=")</f>
        <v>#REF!</v>
      </c>
      <c r="GD9" t="e">
        <f>AND(#REF!,"AAAAAB/Hv7k=")</f>
        <v>#REF!</v>
      </c>
      <c r="GE9" t="e">
        <f>AND(#REF!,"AAAAAB/Hv7o=")</f>
        <v>#REF!</v>
      </c>
      <c r="GF9" t="e">
        <f>AND(#REF!,"AAAAAB/Hv7s=")</f>
        <v>#REF!</v>
      </c>
      <c r="GG9" t="e">
        <f>AND(#REF!,"AAAAAB/Hv7w=")</f>
        <v>#REF!</v>
      </c>
      <c r="GH9" t="e">
        <f>AND(#REF!,"AAAAAB/Hv70=")</f>
        <v>#REF!</v>
      </c>
      <c r="GI9" t="e">
        <f>AND(#REF!,"AAAAAB/Hv74=")</f>
        <v>#REF!</v>
      </c>
      <c r="GJ9" t="e">
        <f>AND(#REF!,"AAAAAB/Hv78=")</f>
        <v>#REF!</v>
      </c>
      <c r="GK9" t="e">
        <f>IF(#REF!,"AAAAAB/Hv8A=",0)</f>
        <v>#REF!</v>
      </c>
      <c r="GL9" t="e">
        <f>AND(#REF!,"AAAAAB/Hv8E=")</f>
        <v>#REF!</v>
      </c>
      <c r="GM9" t="e">
        <f>AND(#REF!,"AAAAAB/Hv8I=")</f>
        <v>#REF!</v>
      </c>
      <c r="GN9" t="e">
        <f>AND(#REF!,"AAAAAB/Hv8M=")</f>
        <v>#REF!</v>
      </c>
      <c r="GO9" t="e">
        <f>AND(#REF!,"AAAAAB/Hv8Q=")</f>
        <v>#REF!</v>
      </c>
      <c r="GP9" t="e">
        <f>AND(#REF!,"AAAAAB/Hv8U=")</f>
        <v>#REF!</v>
      </c>
      <c r="GQ9" t="e">
        <f>AND(#REF!,"AAAAAB/Hv8Y=")</f>
        <v>#REF!</v>
      </c>
      <c r="GR9" t="e">
        <f>AND(#REF!,"AAAAAB/Hv8c=")</f>
        <v>#REF!</v>
      </c>
      <c r="GS9" t="e">
        <f>AND(#REF!,"AAAAAB/Hv8g=")</f>
        <v>#REF!</v>
      </c>
      <c r="GT9" t="e">
        <f>AND(#REF!,"AAAAAB/Hv8k=")</f>
        <v>#REF!</v>
      </c>
      <c r="GU9" t="e">
        <f>AND(#REF!,"AAAAAB/Hv8o=")</f>
        <v>#REF!</v>
      </c>
      <c r="GV9" t="e">
        <f>AND(#REF!,"AAAAAB/Hv8s=")</f>
        <v>#REF!</v>
      </c>
      <c r="GW9" t="e">
        <f>AND(#REF!,"AAAAAB/Hv8w=")</f>
        <v>#REF!</v>
      </c>
      <c r="GX9" t="e">
        <f>AND(#REF!,"AAAAAB/Hv80=")</f>
        <v>#REF!</v>
      </c>
      <c r="GY9" t="e">
        <f>AND(#REF!,"AAAAAB/Hv84=")</f>
        <v>#REF!</v>
      </c>
      <c r="GZ9" t="e">
        <f>AND(#REF!,"AAAAAB/Hv88=")</f>
        <v>#REF!</v>
      </c>
      <c r="HA9" t="e">
        <f>AND(#REF!,"AAAAAB/Hv9A=")</f>
        <v>#REF!</v>
      </c>
      <c r="HB9" t="e">
        <f>AND(#REF!,"AAAAAB/Hv9E=")</f>
        <v>#REF!</v>
      </c>
      <c r="HC9" t="e">
        <f>AND(#REF!,"AAAAAB/Hv9I=")</f>
        <v>#REF!</v>
      </c>
      <c r="HD9" t="e">
        <f>AND(#REF!,"AAAAAB/Hv9M=")</f>
        <v>#REF!</v>
      </c>
      <c r="HE9" t="e">
        <f>AND(#REF!,"AAAAAB/Hv9Q=")</f>
        <v>#REF!</v>
      </c>
      <c r="HF9" t="e">
        <f>AND(#REF!,"AAAAAB/Hv9U=")</f>
        <v>#REF!</v>
      </c>
      <c r="HG9" t="e">
        <f>AND(#REF!,"AAAAAB/Hv9Y=")</f>
        <v>#REF!</v>
      </c>
      <c r="HH9" t="e">
        <f>AND(#REF!,"AAAAAB/Hv9c=")</f>
        <v>#REF!</v>
      </c>
      <c r="HI9" t="e">
        <f>AND(#REF!,"AAAAAB/Hv9g=")</f>
        <v>#REF!</v>
      </c>
      <c r="HJ9" t="e">
        <f>AND(#REF!,"AAAAAB/Hv9k=")</f>
        <v>#REF!</v>
      </c>
      <c r="HK9" t="e">
        <f>AND(#REF!,"AAAAAB/Hv9o=")</f>
        <v>#REF!</v>
      </c>
      <c r="HL9" t="e">
        <f>IF(#REF!,"AAAAAB/Hv9s=",0)</f>
        <v>#REF!</v>
      </c>
      <c r="HM9" t="e">
        <f>AND(#REF!,"AAAAAB/Hv9w=")</f>
        <v>#REF!</v>
      </c>
      <c r="HN9" t="e">
        <f>AND(#REF!,"AAAAAB/Hv90=")</f>
        <v>#REF!</v>
      </c>
      <c r="HO9" t="e">
        <f>AND(#REF!,"AAAAAB/Hv94=")</f>
        <v>#REF!</v>
      </c>
      <c r="HP9" t="e">
        <f>AND(#REF!,"AAAAAB/Hv98=")</f>
        <v>#REF!</v>
      </c>
      <c r="HQ9" t="e">
        <f>AND(#REF!,"AAAAAB/Hv+A=")</f>
        <v>#REF!</v>
      </c>
      <c r="HR9" t="e">
        <f>AND(#REF!,"AAAAAB/Hv+E=")</f>
        <v>#REF!</v>
      </c>
      <c r="HS9" t="e">
        <f>AND(#REF!,"AAAAAB/Hv+I=")</f>
        <v>#REF!</v>
      </c>
      <c r="HT9" t="e">
        <f>AND(#REF!,"AAAAAB/Hv+M=")</f>
        <v>#REF!</v>
      </c>
      <c r="HU9" t="e">
        <f>AND(#REF!,"AAAAAB/Hv+Q=")</f>
        <v>#REF!</v>
      </c>
      <c r="HV9" t="e">
        <f>AND(#REF!,"AAAAAB/Hv+U=")</f>
        <v>#REF!</v>
      </c>
      <c r="HW9" t="e">
        <f>AND(#REF!,"AAAAAB/Hv+Y=")</f>
        <v>#REF!</v>
      </c>
      <c r="HX9" t="e">
        <f>AND(#REF!,"AAAAAB/Hv+c=")</f>
        <v>#REF!</v>
      </c>
      <c r="HY9" t="e">
        <f>AND(#REF!,"AAAAAB/Hv+g=")</f>
        <v>#REF!</v>
      </c>
      <c r="HZ9" t="e">
        <f>AND(#REF!,"AAAAAB/Hv+k=")</f>
        <v>#REF!</v>
      </c>
      <c r="IA9" t="e">
        <f>AND(#REF!,"AAAAAB/Hv+o=")</f>
        <v>#REF!</v>
      </c>
      <c r="IB9" t="e">
        <f>AND(#REF!,"AAAAAB/Hv+s=")</f>
        <v>#REF!</v>
      </c>
      <c r="IC9" t="e">
        <f>AND(#REF!,"AAAAAB/Hv+w=")</f>
        <v>#REF!</v>
      </c>
      <c r="ID9" t="e">
        <f>AND(#REF!,"AAAAAB/Hv+0=")</f>
        <v>#REF!</v>
      </c>
      <c r="IE9" t="e">
        <f>AND(#REF!,"AAAAAB/Hv+4=")</f>
        <v>#REF!</v>
      </c>
      <c r="IF9" t="e">
        <f>AND(#REF!,"AAAAAB/Hv+8=")</f>
        <v>#REF!</v>
      </c>
      <c r="IG9" t="e">
        <f>AND(#REF!,"AAAAAB/Hv/A=")</f>
        <v>#REF!</v>
      </c>
      <c r="IH9" t="e">
        <f>AND(#REF!,"AAAAAB/Hv/E=")</f>
        <v>#REF!</v>
      </c>
      <c r="II9" t="e">
        <f>AND(#REF!,"AAAAAB/Hv/I=")</f>
        <v>#REF!</v>
      </c>
      <c r="IJ9" t="e">
        <f>AND(#REF!,"AAAAAB/Hv/M=")</f>
        <v>#REF!</v>
      </c>
      <c r="IK9" t="e">
        <f>AND(#REF!,"AAAAAB/Hv/Q=")</f>
        <v>#REF!</v>
      </c>
      <c r="IL9" t="e">
        <f>AND(#REF!,"AAAAAB/Hv/U=")</f>
        <v>#REF!</v>
      </c>
      <c r="IM9" t="e">
        <f>IF(#REF!,"AAAAAB/Hv/Y=",0)</f>
        <v>#REF!</v>
      </c>
      <c r="IN9" t="e">
        <f>AND(#REF!,"AAAAAB/Hv/c=")</f>
        <v>#REF!</v>
      </c>
      <c r="IO9" t="e">
        <f>AND(#REF!,"AAAAAB/Hv/g=")</f>
        <v>#REF!</v>
      </c>
      <c r="IP9" t="e">
        <f>AND(#REF!,"AAAAAB/Hv/k=")</f>
        <v>#REF!</v>
      </c>
      <c r="IQ9" t="e">
        <f>AND(#REF!,"AAAAAB/Hv/o=")</f>
        <v>#REF!</v>
      </c>
      <c r="IR9" t="e">
        <f>AND(#REF!,"AAAAAB/Hv/s=")</f>
        <v>#REF!</v>
      </c>
      <c r="IS9" t="e">
        <f>AND(#REF!,"AAAAAB/Hv/w=")</f>
        <v>#REF!</v>
      </c>
      <c r="IT9" t="e">
        <f>AND(#REF!,"AAAAAB/Hv/0=")</f>
        <v>#REF!</v>
      </c>
      <c r="IU9" t="e">
        <f>AND(#REF!,"AAAAAB/Hv/4=")</f>
        <v>#REF!</v>
      </c>
      <c r="IV9" t="e">
        <f>AND(#REF!,"AAAAAB/Hv/8=")</f>
        <v>#REF!</v>
      </c>
    </row>
    <row r="10" spans="1:256" x14ac:dyDescent="0.2">
      <c r="A10" t="e">
        <f>AND(#REF!,"AAAAAHv96gA=")</f>
        <v>#REF!</v>
      </c>
      <c r="B10" t="e">
        <f>AND(#REF!,"AAAAAHv96gE=")</f>
        <v>#REF!</v>
      </c>
      <c r="C10" t="e">
        <f>AND(#REF!,"AAAAAHv96gI=")</f>
        <v>#REF!</v>
      </c>
      <c r="D10" t="e">
        <f>AND(#REF!,"AAAAAHv96gM=")</f>
        <v>#REF!</v>
      </c>
      <c r="E10" t="e">
        <f>AND(#REF!,"AAAAAHv96gQ=")</f>
        <v>#REF!</v>
      </c>
      <c r="F10" t="e">
        <f>AND(#REF!,"AAAAAHv96gU=")</f>
        <v>#REF!</v>
      </c>
      <c r="G10" t="e">
        <f>AND(#REF!,"AAAAAHv96gY=")</f>
        <v>#REF!</v>
      </c>
      <c r="H10" t="e">
        <f>AND(#REF!,"AAAAAHv96gc=")</f>
        <v>#REF!</v>
      </c>
      <c r="I10" t="e">
        <f>AND(#REF!,"AAAAAHv96gg=")</f>
        <v>#REF!</v>
      </c>
      <c r="J10" t="e">
        <f>AND(#REF!,"AAAAAHv96gk=")</f>
        <v>#REF!</v>
      </c>
      <c r="K10" t="e">
        <f>AND(#REF!,"AAAAAHv96go=")</f>
        <v>#REF!</v>
      </c>
      <c r="L10" t="e">
        <f>AND(#REF!,"AAAAAHv96gs=")</f>
        <v>#REF!</v>
      </c>
      <c r="M10" t="e">
        <f>AND(#REF!,"AAAAAHv96gw=")</f>
        <v>#REF!</v>
      </c>
      <c r="N10" t="e">
        <f>AND(#REF!,"AAAAAHv96g0=")</f>
        <v>#REF!</v>
      </c>
      <c r="O10" t="e">
        <f>AND(#REF!,"AAAAAHv96g4=")</f>
        <v>#REF!</v>
      </c>
      <c r="P10" t="e">
        <f>AND(#REF!,"AAAAAHv96g8=")</f>
        <v>#REF!</v>
      </c>
      <c r="Q10" t="e">
        <f>AND(#REF!,"AAAAAHv96hA=")</f>
        <v>#REF!</v>
      </c>
      <c r="R10" t="e">
        <f>IF(#REF!,"AAAAAHv96hE=",0)</f>
        <v>#REF!</v>
      </c>
      <c r="S10" t="e">
        <f>AND(#REF!,"AAAAAHv96hI=")</f>
        <v>#REF!</v>
      </c>
      <c r="T10" t="e">
        <f>AND(#REF!,"AAAAAHv96hM=")</f>
        <v>#REF!</v>
      </c>
      <c r="U10" t="e">
        <f>AND(#REF!,"AAAAAHv96hQ=")</f>
        <v>#REF!</v>
      </c>
      <c r="V10" t="e">
        <f>AND(#REF!,"AAAAAHv96hU=")</f>
        <v>#REF!</v>
      </c>
      <c r="W10" t="e">
        <f>AND(#REF!,"AAAAAHv96hY=")</f>
        <v>#REF!</v>
      </c>
      <c r="X10" t="e">
        <f>AND(#REF!,"AAAAAHv96hc=")</f>
        <v>#REF!</v>
      </c>
      <c r="Y10" t="e">
        <f>AND(#REF!,"AAAAAHv96hg=")</f>
        <v>#REF!</v>
      </c>
      <c r="Z10" t="e">
        <f>AND(#REF!,"AAAAAHv96hk=")</f>
        <v>#REF!</v>
      </c>
      <c r="AA10" t="e">
        <f>AND(#REF!,"AAAAAHv96ho=")</f>
        <v>#REF!</v>
      </c>
      <c r="AB10" t="e">
        <f>AND(#REF!,"AAAAAHv96hs=")</f>
        <v>#REF!</v>
      </c>
      <c r="AC10" t="e">
        <f>AND(#REF!,"AAAAAHv96hw=")</f>
        <v>#REF!</v>
      </c>
      <c r="AD10" t="e">
        <f>AND(#REF!,"AAAAAHv96h0=")</f>
        <v>#REF!</v>
      </c>
      <c r="AE10" t="e">
        <f>AND(#REF!,"AAAAAHv96h4=")</f>
        <v>#REF!</v>
      </c>
      <c r="AF10" t="e">
        <f>AND(#REF!,"AAAAAHv96h8=")</f>
        <v>#REF!</v>
      </c>
      <c r="AG10" t="e">
        <f>AND(#REF!,"AAAAAHv96iA=")</f>
        <v>#REF!</v>
      </c>
      <c r="AH10" t="e">
        <f>AND(#REF!,"AAAAAHv96iE=")</f>
        <v>#REF!</v>
      </c>
      <c r="AI10" t="e">
        <f>AND(#REF!,"AAAAAHv96iI=")</f>
        <v>#REF!</v>
      </c>
      <c r="AJ10" t="e">
        <f>AND(#REF!,"AAAAAHv96iM=")</f>
        <v>#REF!</v>
      </c>
      <c r="AK10" t="e">
        <f>AND(#REF!,"AAAAAHv96iQ=")</f>
        <v>#REF!</v>
      </c>
      <c r="AL10" t="e">
        <f>AND(#REF!,"AAAAAHv96iU=")</f>
        <v>#REF!</v>
      </c>
      <c r="AM10" t="e">
        <f>AND(#REF!,"AAAAAHv96iY=")</f>
        <v>#REF!</v>
      </c>
      <c r="AN10" t="e">
        <f>AND(#REF!,"AAAAAHv96ic=")</f>
        <v>#REF!</v>
      </c>
      <c r="AO10" t="e">
        <f>AND(#REF!,"AAAAAHv96ig=")</f>
        <v>#REF!</v>
      </c>
      <c r="AP10" t="e">
        <f>AND(#REF!,"AAAAAHv96ik=")</f>
        <v>#REF!</v>
      </c>
      <c r="AQ10" t="e">
        <f>AND(#REF!,"AAAAAHv96io=")</f>
        <v>#REF!</v>
      </c>
      <c r="AR10" t="e">
        <f>AND(#REF!,"AAAAAHv96is=")</f>
        <v>#REF!</v>
      </c>
      <c r="AS10" t="e">
        <f>IF(#REF!,"AAAAAHv96iw=",0)</f>
        <v>#REF!</v>
      </c>
      <c r="AT10" t="e">
        <f>AND(#REF!,"AAAAAHv96i0=")</f>
        <v>#REF!</v>
      </c>
      <c r="AU10" t="e">
        <f>AND(#REF!,"AAAAAHv96i4=")</f>
        <v>#REF!</v>
      </c>
      <c r="AV10" t="e">
        <f>AND(#REF!,"AAAAAHv96i8=")</f>
        <v>#REF!</v>
      </c>
      <c r="AW10" t="e">
        <f>AND(#REF!,"AAAAAHv96jA=")</f>
        <v>#REF!</v>
      </c>
      <c r="AX10" t="e">
        <f>AND(#REF!,"AAAAAHv96jE=")</f>
        <v>#REF!</v>
      </c>
      <c r="AY10" t="e">
        <f>AND(#REF!,"AAAAAHv96jI=")</f>
        <v>#REF!</v>
      </c>
      <c r="AZ10" t="e">
        <f>AND(#REF!,"AAAAAHv96jM=")</f>
        <v>#REF!</v>
      </c>
      <c r="BA10" t="e">
        <f>AND(#REF!,"AAAAAHv96jQ=")</f>
        <v>#REF!</v>
      </c>
      <c r="BB10" t="e">
        <f>AND(#REF!,"AAAAAHv96jU=")</f>
        <v>#REF!</v>
      </c>
      <c r="BC10" t="e">
        <f>AND(#REF!,"AAAAAHv96jY=")</f>
        <v>#REF!</v>
      </c>
      <c r="BD10" t="e">
        <f>AND(#REF!,"AAAAAHv96jc=")</f>
        <v>#REF!</v>
      </c>
      <c r="BE10" t="e">
        <f>AND(#REF!,"AAAAAHv96jg=")</f>
        <v>#REF!</v>
      </c>
      <c r="BF10" t="e">
        <f>AND(#REF!,"AAAAAHv96jk=")</f>
        <v>#REF!</v>
      </c>
      <c r="BG10" t="e">
        <f>AND(#REF!,"AAAAAHv96jo=")</f>
        <v>#REF!</v>
      </c>
      <c r="BH10" t="e">
        <f>AND(#REF!,"AAAAAHv96js=")</f>
        <v>#REF!</v>
      </c>
      <c r="BI10" t="e">
        <f>AND(#REF!,"AAAAAHv96jw=")</f>
        <v>#REF!</v>
      </c>
      <c r="BJ10" t="e">
        <f>AND(#REF!,"AAAAAHv96j0=")</f>
        <v>#REF!</v>
      </c>
      <c r="BK10" t="e">
        <f>AND(#REF!,"AAAAAHv96j4=")</f>
        <v>#REF!</v>
      </c>
      <c r="BL10" t="e">
        <f>AND(#REF!,"AAAAAHv96j8=")</f>
        <v>#REF!</v>
      </c>
      <c r="BM10" t="e">
        <f>AND(#REF!,"AAAAAHv96kA=")</f>
        <v>#REF!</v>
      </c>
      <c r="BN10" t="e">
        <f>AND(#REF!,"AAAAAHv96kE=")</f>
        <v>#REF!</v>
      </c>
      <c r="BO10" t="e">
        <f>AND(#REF!,"AAAAAHv96kI=")</f>
        <v>#REF!</v>
      </c>
      <c r="BP10" t="e">
        <f>AND(#REF!,"AAAAAHv96kM=")</f>
        <v>#REF!</v>
      </c>
      <c r="BQ10" t="e">
        <f>AND(#REF!,"AAAAAHv96kQ=")</f>
        <v>#REF!</v>
      </c>
      <c r="BR10" t="e">
        <f>AND(#REF!,"AAAAAHv96kU=")</f>
        <v>#REF!</v>
      </c>
      <c r="BS10" t="e">
        <f>AND(#REF!,"AAAAAHv96kY=")</f>
        <v>#REF!</v>
      </c>
      <c r="BT10" t="e">
        <f>IF(#REF!,"AAAAAHv96kc=",0)</f>
        <v>#REF!</v>
      </c>
      <c r="BU10" t="e">
        <f>AND(#REF!,"AAAAAHv96kg=")</f>
        <v>#REF!</v>
      </c>
      <c r="BV10" t="e">
        <f>AND(#REF!,"AAAAAHv96kk=")</f>
        <v>#REF!</v>
      </c>
      <c r="BW10" t="e">
        <f>AND(#REF!,"AAAAAHv96ko=")</f>
        <v>#REF!</v>
      </c>
      <c r="BX10" t="e">
        <f>AND(#REF!,"AAAAAHv96ks=")</f>
        <v>#REF!</v>
      </c>
      <c r="BY10" t="e">
        <f>AND(#REF!,"AAAAAHv96kw=")</f>
        <v>#REF!</v>
      </c>
      <c r="BZ10" t="e">
        <f>AND(#REF!,"AAAAAHv96k0=")</f>
        <v>#REF!</v>
      </c>
      <c r="CA10" t="e">
        <f>AND(#REF!,"AAAAAHv96k4=")</f>
        <v>#REF!</v>
      </c>
      <c r="CB10" t="e">
        <f>AND(#REF!,"AAAAAHv96k8=")</f>
        <v>#REF!</v>
      </c>
      <c r="CC10" t="e">
        <f>AND(#REF!,"AAAAAHv96lA=")</f>
        <v>#REF!</v>
      </c>
      <c r="CD10" t="e">
        <f>AND(#REF!,"AAAAAHv96lE=")</f>
        <v>#REF!</v>
      </c>
      <c r="CE10" t="e">
        <f>AND(#REF!,"AAAAAHv96lI=")</f>
        <v>#REF!</v>
      </c>
      <c r="CF10" t="e">
        <f>AND(#REF!,"AAAAAHv96lM=")</f>
        <v>#REF!</v>
      </c>
      <c r="CG10" t="e">
        <f>AND(#REF!,"AAAAAHv96lQ=")</f>
        <v>#REF!</v>
      </c>
      <c r="CH10" t="e">
        <f>AND(#REF!,"AAAAAHv96lU=")</f>
        <v>#REF!</v>
      </c>
      <c r="CI10" t="e">
        <f>AND(#REF!,"AAAAAHv96lY=")</f>
        <v>#REF!</v>
      </c>
      <c r="CJ10" t="e">
        <f>AND(#REF!,"AAAAAHv96lc=")</f>
        <v>#REF!</v>
      </c>
      <c r="CK10" t="e">
        <f>AND(#REF!,"AAAAAHv96lg=")</f>
        <v>#REF!</v>
      </c>
      <c r="CL10" t="e">
        <f>AND(#REF!,"AAAAAHv96lk=")</f>
        <v>#REF!</v>
      </c>
      <c r="CM10" t="e">
        <f>AND(#REF!,"AAAAAHv96lo=")</f>
        <v>#REF!</v>
      </c>
      <c r="CN10" t="e">
        <f>AND(#REF!,"AAAAAHv96ls=")</f>
        <v>#REF!</v>
      </c>
      <c r="CO10" t="e">
        <f>AND(#REF!,"AAAAAHv96lw=")</f>
        <v>#REF!</v>
      </c>
      <c r="CP10" t="e">
        <f>AND(#REF!,"AAAAAHv96l0=")</f>
        <v>#REF!</v>
      </c>
      <c r="CQ10" t="e">
        <f>AND(#REF!,"AAAAAHv96l4=")</f>
        <v>#REF!</v>
      </c>
      <c r="CR10" t="e">
        <f>AND(#REF!,"AAAAAHv96l8=")</f>
        <v>#REF!</v>
      </c>
      <c r="CS10" t="e">
        <f>AND(#REF!,"AAAAAHv96mA=")</f>
        <v>#REF!</v>
      </c>
      <c r="CT10" t="e">
        <f>AND(#REF!,"AAAAAHv96mE=")</f>
        <v>#REF!</v>
      </c>
      <c r="CU10" t="e">
        <f>IF(#REF!,"AAAAAHv96mI=",0)</f>
        <v>#REF!</v>
      </c>
      <c r="CV10" t="e">
        <f>AND(#REF!,"AAAAAHv96mM=")</f>
        <v>#REF!</v>
      </c>
      <c r="CW10" t="e">
        <f>AND(#REF!,"AAAAAHv96mQ=")</f>
        <v>#REF!</v>
      </c>
      <c r="CX10" t="e">
        <f>AND(#REF!,"AAAAAHv96mU=")</f>
        <v>#REF!</v>
      </c>
      <c r="CY10" t="e">
        <f>AND(#REF!,"AAAAAHv96mY=")</f>
        <v>#REF!</v>
      </c>
      <c r="CZ10" t="e">
        <f>AND(#REF!,"AAAAAHv96mc=")</f>
        <v>#REF!</v>
      </c>
      <c r="DA10" t="e">
        <f>AND(#REF!,"AAAAAHv96mg=")</f>
        <v>#REF!</v>
      </c>
      <c r="DB10" t="e">
        <f>AND(#REF!,"AAAAAHv96mk=")</f>
        <v>#REF!</v>
      </c>
      <c r="DC10" t="e">
        <f>AND(#REF!,"AAAAAHv96mo=")</f>
        <v>#REF!</v>
      </c>
      <c r="DD10" t="e">
        <f>AND(#REF!,"AAAAAHv96ms=")</f>
        <v>#REF!</v>
      </c>
      <c r="DE10" t="e">
        <f>AND(#REF!,"AAAAAHv96mw=")</f>
        <v>#REF!</v>
      </c>
      <c r="DF10" t="e">
        <f>AND(#REF!,"AAAAAHv96m0=")</f>
        <v>#REF!</v>
      </c>
      <c r="DG10" t="e">
        <f>AND(#REF!,"AAAAAHv96m4=")</f>
        <v>#REF!</v>
      </c>
      <c r="DH10" t="e">
        <f>AND(#REF!,"AAAAAHv96m8=")</f>
        <v>#REF!</v>
      </c>
      <c r="DI10" t="e">
        <f>AND(#REF!,"AAAAAHv96nA=")</f>
        <v>#REF!</v>
      </c>
      <c r="DJ10" t="e">
        <f>AND(#REF!,"AAAAAHv96nE=")</f>
        <v>#REF!</v>
      </c>
      <c r="DK10" t="e">
        <f>AND(#REF!,"AAAAAHv96nI=")</f>
        <v>#REF!</v>
      </c>
      <c r="DL10" t="e">
        <f>AND(#REF!,"AAAAAHv96nM=")</f>
        <v>#REF!</v>
      </c>
      <c r="DM10" t="e">
        <f>AND(#REF!,"AAAAAHv96nQ=")</f>
        <v>#REF!</v>
      </c>
      <c r="DN10" t="e">
        <f>AND(#REF!,"AAAAAHv96nU=")</f>
        <v>#REF!</v>
      </c>
      <c r="DO10" t="e">
        <f>AND(#REF!,"AAAAAHv96nY=")</f>
        <v>#REF!</v>
      </c>
      <c r="DP10" t="e">
        <f>AND(#REF!,"AAAAAHv96nc=")</f>
        <v>#REF!</v>
      </c>
      <c r="DQ10" t="e">
        <f>AND(#REF!,"AAAAAHv96ng=")</f>
        <v>#REF!</v>
      </c>
      <c r="DR10" t="e">
        <f>AND(#REF!,"AAAAAHv96nk=")</f>
        <v>#REF!</v>
      </c>
      <c r="DS10" t="e">
        <f>AND(#REF!,"AAAAAHv96no=")</f>
        <v>#REF!</v>
      </c>
      <c r="DT10" t="e">
        <f>AND(#REF!,"AAAAAHv96ns=")</f>
        <v>#REF!</v>
      </c>
      <c r="DU10" t="e">
        <f>AND(#REF!,"AAAAAHv96nw=")</f>
        <v>#REF!</v>
      </c>
      <c r="DV10" t="e">
        <f>IF(#REF!,"AAAAAHv96n0=",0)</f>
        <v>#REF!</v>
      </c>
      <c r="DW10" t="e">
        <f>AND(#REF!,"AAAAAHv96n4=")</f>
        <v>#REF!</v>
      </c>
      <c r="DX10" t="e">
        <f>AND(#REF!,"AAAAAHv96n8=")</f>
        <v>#REF!</v>
      </c>
      <c r="DY10" t="e">
        <f>AND(#REF!,"AAAAAHv96oA=")</f>
        <v>#REF!</v>
      </c>
      <c r="DZ10" t="e">
        <f>AND(#REF!,"AAAAAHv96oE=")</f>
        <v>#REF!</v>
      </c>
      <c r="EA10" t="e">
        <f>AND(#REF!,"AAAAAHv96oI=")</f>
        <v>#REF!</v>
      </c>
      <c r="EB10" t="e">
        <f>AND(#REF!,"AAAAAHv96oM=")</f>
        <v>#REF!</v>
      </c>
      <c r="EC10" t="e">
        <f>AND(#REF!,"AAAAAHv96oQ=")</f>
        <v>#REF!</v>
      </c>
      <c r="ED10" t="e">
        <f>AND(#REF!,"AAAAAHv96oU=")</f>
        <v>#REF!</v>
      </c>
      <c r="EE10" t="e">
        <f>AND(#REF!,"AAAAAHv96oY=")</f>
        <v>#REF!</v>
      </c>
      <c r="EF10" t="e">
        <f>AND(#REF!,"AAAAAHv96oc=")</f>
        <v>#REF!</v>
      </c>
      <c r="EG10" t="e">
        <f>AND(#REF!,"AAAAAHv96og=")</f>
        <v>#REF!</v>
      </c>
      <c r="EH10" t="e">
        <f>AND(#REF!,"AAAAAHv96ok=")</f>
        <v>#REF!</v>
      </c>
      <c r="EI10" t="e">
        <f>AND(#REF!,"AAAAAHv96oo=")</f>
        <v>#REF!</v>
      </c>
      <c r="EJ10" t="e">
        <f>AND(#REF!,"AAAAAHv96os=")</f>
        <v>#REF!</v>
      </c>
      <c r="EK10" t="e">
        <f>AND(#REF!,"AAAAAHv96ow=")</f>
        <v>#REF!</v>
      </c>
      <c r="EL10" t="e">
        <f>AND(#REF!,"AAAAAHv96o0=")</f>
        <v>#REF!</v>
      </c>
      <c r="EM10" t="e">
        <f>AND(#REF!,"AAAAAHv96o4=")</f>
        <v>#REF!</v>
      </c>
      <c r="EN10" t="e">
        <f>AND(#REF!,"AAAAAHv96o8=")</f>
        <v>#REF!</v>
      </c>
      <c r="EO10" t="e">
        <f>AND(#REF!,"AAAAAHv96pA=")</f>
        <v>#REF!</v>
      </c>
      <c r="EP10" t="e">
        <f>AND(#REF!,"AAAAAHv96pE=")</f>
        <v>#REF!</v>
      </c>
      <c r="EQ10" t="e">
        <f>AND(#REF!,"AAAAAHv96pI=")</f>
        <v>#REF!</v>
      </c>
      <c r="ER10" t="e">
        <f>AND(#REF!,"AAAAAHv96pM=")</f>
        <v>#REF!</v>
      </c>
      <c r="ES10" t="e">
        <f>AND(#REF!,"AAAAAHv96pQ=")</f>
        <v>#REF!</v>
      </c>
      <c r="ET10" t="e">
        <f>AND(#REF!,"AAAAAHv96pU=")</f>
        <v>#REF!</v>
      </c>
      <c r="EU10" t="e">
        <f>AND(#REF!,"AAAAAHv96pY=")</f>
        <v>#REF!</v>
      </c>
      <c r="EV10" t="e">
        <f>AND(#REF!,"AAAAAHv96pc=")</f>
        <v>#REF!</v>
      </c>
      <c r="EW10" t="e">
        <f>IF(#REF!,"AAAAAHv96pg=",0)</f>
        <v>#REF!</v>
      </c>
      <c r="EX10" t="e">
        <f>AND(#REF!,"AAAAAHv96pk=")</f>
        <v>#REF!</v>
      </c>
      <c r="EY10" t="e">
        <f>AND(#REF!,"AAAAAHv96po=")</f>
        <v>#REF!</v>
      </c>
      <c r="EZ10" t="e">
        <f>AND(#REF!,"AAAAAHv96ps=")</f>
        <v>#REF!</v>
      </c>
      <c r="FA10" t="e">
        <f>AND(#REF!,"AAAAAHv96pw=")</f>
        <v>#REF!</v>
      </c>
      <c r="FB10" t="e">
        <f>AND(#REF!,"AAAAAHv96p0=")</f>
        <v>#REF!</v>
      </c>
      <c r="FC10" t="e">
        <f>AND(#REF!,"AAAAAHv96p4=")</f>
        <v>#REF!</v>
      </c>
      <c r="FD10" t="e">
        <f>AND(#REF!,"AAAAAHv96p8=")</f>
        <v>#REF!</v>
      </c>
      <c r="FE10" t="e">
        <f>AND(#REF!,"AAAAAHv96qA=")</f>
        <v>#REF!</v>
      </c>
      <c r="FF10" t="e">
        <f>AND(#REF!,"AAAAAHv96qE=")</f>
        <v>#REF!</v>
      </c>
      <c r="FG10" t="e">
        <f>AND(#REF!,"AAAAAHv96qI=")</f>
        <v>#REF!</v>
      </c>
      <c r="FH10" t="e">
        <f>AND(#REF!,"AAAAAHv96qM=")</f>
        <v>#REF!</v>
      </c>
      <c r="FI10" t="e">
        <f>AND(#REF!,"AAAAAHv96qQ=")</f>
        <v>#REF!</v>
      </c>
      <c r="FJ10" t="e">
        <f>AND(#REF!,"AAAAAHv96qU=")</f>
        <v>#REF!</v>
      </c>
      <c r="FK10" t="e">
        <f>AND(#REF!,"AAAAAHv96qY=")</f>
        <v>#REF!</v>
      </c>
      <c r="FL10" t="e">
        <f>AND(#REF!,"AAAAAHv96qc=")</f>
        <v>#REF!</v>
      </c>
      <c r="FM10" t="e">
        <f>AND(#REF!,"AAAAAHv96qg=")</f>
        <v>#REF!</v>
      </c>
      <c r="FN10" t="e">
        <f>AND(#REF!,"AAAAAHv96qk=")</f>
        <v>#REF!</v>
      </c>
      <c r="FO10" t="e">
        <f>AND(#REF!,"AAAAAHv96qo=")</f>
        <v>#REF!</v>
      </c>
      <c r="FP10" t="e">
        <f>AND(#REF!,"AAAAAHv96qs=")</f>
        <v>#REF!</v>
      </c>
      <c r="FQ10" t="e">
        <f>AND(#REF!,"AAAAAHv96qw=")</f>
        <v>#REF!</v>
      </c>
      <c r="FR10" t="e">
        <f>AND(#REF!,"AAAAAHv96q0=")</f>
        <v>#REF!</v>
      </c>
      <c r="FS10" t="e">
        <f>AND(#REF!,"AAAAAHv96q4=")</f>
        <v>#REF!</v>
      </c>
      <c r="FT10" t="e">
        <f>AND(#REF!,"AAAAAHv96q8=")</f>
        <v>#REF!</v>
      </c>
      <c r="FU10" t="e">
        <f>AND(#REF!,"AAAAAHv96rA=")</f>
        <v>#REF!</v>
      </c>
      <c r="FV10" t="e">
        <f>AND(#REF!,"AAAAAHv96rE=")</f>
        <v>#REF!</v>
      </c>
      <c r="FW10" t="e">
        <f>AND(#REF!,"AAAAAHv96rI=")</f>
        <v>#REF!</v>
      </c>
      <c r="FX10" t="e">
        <f>IF(#REF!,"AAAAAHv96rM=",0)</f>
        <v>#REF!</v>
      </c>
      <c r="FY10" t="e">
        <f>AND(#REF!,"AAAAAHv96rQ=")</f>
        <v>#REF!</v>
      </c>
      <c r="FZ10" t="e">
        <f>AND(#REF!,"AAAAAHv96rU=")</f>
        <v>#REF!</v>
      </c>
      <c r="GA10" t="e">
        <f>AND(#REF!,"AAAAAHv96rY=")</f>
        <v>#REF!</v>
      </c>
      <c r="GB10" t="e">
        <f>AND(#REF!,"AAAAAHv96rc=")</f>
        <v>#REF!</v>
      </c>
      <c r="GC10" t="e">
        <f>AND(#REF!,"AAAAAHv96rg=")</f>
        <v>#REF!</v>
      </c>
      <c r="GD10" t="e">
        <f>AND(#REF!,"AAAAAHv96rk=")</f>
        <v>#REF!</v>
      </c>
      <c r="GE10" t="e">
        <f>AND(#REF!,"AAAAAHv96ro=")</f>
        <v>#REF!</v>
      </c>
      <c r="GF10" t="e">
        <f>AND(#REF!,"AAAAAHv96rs=")</f>
        <v>#REF!</v>
      </c>
      <c r="GG10" t="e">
        <f>AND(#REF!,"AAAAAHv96rw=")</f>
        <v>#REF!</v>
      </c>
      <c r="GH10" t="e">
        <f>AND(#REF!,"AAAAAHv96r0=")</f>
        <v>#REF!</v>
      </c>
      <c r="GI10" t="e">
        <f>AND(#REF!,"AAAAAHv96r4=")</f>
        <v>#REF!</v>
      </c>
      <c r="GJ10" t="e">
        <f>AND(#REF!,"AAAAAHv96r8=")</f>
        <v>#REF!</v>
      </c>
      <c r="GK10" t="e">
        <f>AND(#REF!,"AAAAAHv96sA=")</f>
        <v>#REF!</v>
      </c>
      <c r="GL10" t="e">
        <f>AND(#REF!,"AAAAAHv96sE=")</f>
        <v>#REF!</v>
      </c>
      <c r="GM10" t="e">
        <f>AND(#REF!,"AAAAAHv96sI=")</f>
        <v>#REF!</v>
      </c>
      <c r="GN10" t="e">
        <f>AND(#REF!,"AAAAAHv96sM=")</f>
        <v>#REF!</v>
      </c>
      <c r="GO10" t="e">
        <f>AND(#REF!,"AAAAAHv96sQ=")</f>
        <v>#REF!</v>
      </c>
      <c r="GP10" t="e">
        <f>AND(#REF!,"AAAAAHv96sU=")</f>
        <v>#REF!</v>
      </c>
      <c r="GQ10" t="e">
        <f>AND(#REF!,"AAAAAHv96sY=")</f>
        <v>#REF!</v>
      </c>
      <c r="GR10" t="e">
        <f>AND(#REF!,"AAAAAHv96sc=")</f>
        <v>#REF!</v>
      </c>
      <c r="GS10" t="e">
        <f>AND(#REF!,"AAAAAHv96sg=")</f>
        <v>#REF!</v>
      </c>
      <c r="GT10" t="e">
        <f>AND(#REF!,"AAAAAHv96sk=")</f>
        <v>#REF!</v>
      </c>
      <c r="GU10" t="e">
        <f>AND(#REF!,"AAAAAHv96so=")</f>
        <v>#REF!</v>
      </c>
      <c r="GV10" t="e">
        <f>AND(#REF!,"AAAAAHv96ss=")</f>
        <v>#REF!</v>
      </c>
      <c r="GW10" t="e">
        <f>AND(#REF!,"AAAAAHv96sw=")</f>
        <v>#REF!</v>
      </c>
      <c r="GX10" t="e">
        <f>AND(#REF!,"AAAAAHv96s0=")</f>
        <v>#REF!</v>
      </c>
      <c r="GY10" t="e">
        <f>IF(#REF!,"AAAAAHv96s4=",0)</f>
        <v>#REF!</v>
      </c>
      <c r="GZ10" t="e">
        <f>AND(#REF!,"AAAAAHv96s8=")</f>
        <v>#REF!</v>
      </c>
      <c r="HA10" t="e">
        <f>AND(#REF!,"AAAAAHv96tA=")</f>
        <v>#REF!</v>
      </c>
      <c r="HB10" t="e">
        <f>AND(#REF!,"AAAAAHv96tE=")</f>
        <v>#REF!</v>
      </c>
      <c r="HC10" t="e">
        <f>AND(#REF!,"AAAAAHv96tI=")</f>
        <v>#REF!</v>
      </c>
      <c r="HD10" t="e">
        <f>AND(#REF!,"AAAAAHv96tM=")</f>
        <v>#REF!</v>
      </c>
      <c r="HE10" t="e">
        <f>AND(#REF!,"AAAAAHv96tQ=")</f>
        <v>#REF!</v>
      </c>
      <c r="HF10" t="e">
        <f>AND(#REF!,"AAAAAHv96tU=")</f>
        <v>#REF!</v>
      </c>
      <c r="HG10" t="e">
        <f>AND(#REF!,"AAAAAHv96tY=")</f>
        <v>#REF!</v>
      </c>
      <c r="HH10" t="e">
        <f>AND(#REF!,"AAAAAHv96tc=")</f>
        <v>#REF!</v>
      </c>
      <c r="HI10" t="e">
        <f>AND(#REF!,"AAAAAHv96tg=")</f>
        <v>#REF!</v>
      </c>
      <c r="HJ10" t="e">
        <f>AND(#REF!,"AAAAAHv96tk=")</f>
        <v>#REF!</v>
      </c>
      <c r="HK10" t="e">
        <f>AND(#REF!,"AAAAAHv96to=")</f>
        <v>#REF!</v>
      </c>
      <c r="HL10" t="e">
        <f>AND(#REF!,"AAAAAHv96ts=")</f>
        <v>#REF!</v>
      </c>
      <c r="HM10" t="e">
        <f>AND(#REF!,"AAAAAHv96tw=")</f>
        <v>#REF!</v>
      </c>
      <c r="HN10" t="e">
        <f>AND(#REF!,"AAAAAHv96t0=")</f>
        <v>#REF!</v>
      </c>
      <c r="HO10" t="e">
        <f>AND(#REF!,"AAAAAHv96t4=")</f>
        <v>#REF!</v>
      </c>
      <c r="HP10" t="e">
        <f>AND(#REF!,"AAAAAHv96t8=")</f>
        <v>#REF!</v>
      </c>
      <c r="HQ10" t="e">
        <f>AND(#REF!,"AAAAAHv96uA=")</f>
        <v>#REF!</v>
      </c>
      <c r="HR10" t="e">
        <f>AND(#REF!,"AAAAAHv96uE=")</f>
        <v>#REF!</v>
      </c>
      <c r="HS10" t="e">
        <f>AND(#REF!,"AAAAAHv96uI=")</f>
        <v>#REF!</v>
      </c>
      <c r="HT10" t="e">
        <f>AND(#REF!,"AAAAAHv96uM=")</f>
        <v>#REF!</v>
      </c>
      <c r="HU10" t="e">
        <f>AND(#REF!,"AAAAAHv96uQ=")</f>
        <v>#REF!</v>
      </c>
      <c r="HV10" t="e">
        <f>AND(#REF!,"AAAAAHv96uU=")</f>
        <v>#REF!</v>
      </c>
      <c r="HW10" t="e">
        <f>AND(#REF!,"AAAAAHv96uY=")</f>
        <v>#REF!</v>
      </c>
      <c r="HX10" t="e">
        <f>AND(#REF!,"AAAAAHv96uc=")</f>
        <v>#REF!</v>
      </c>
      <c r="HY10" t="e">
        <f>AND(#REF!,"AAAAAHv96ug=")</f>
        <v>#REF!</v>
      </c>
      <c r="HZ10" t="e">
        <f>IF(#REF!,"AAAAAHv96uk=",0)</f>
        <v>#REF!</v>
      </c>
      <c r="IA10" t="e">
        <f>AND(#REF!,"AAAAAHv96uo=")</f>
        <v>#REF!</v>
      </c>
      <c r="IB10" t="e">
        <f>AND(#REF!,"AAAAAHv96us=")</f>
        <v>#REF!</v>
      </c>
      <c r="IC10" t="e">
        <f>AND(#REF!,"AAAAAHv96uw=")</f>
        <v>#REF!</v>
      </c>
      <c r="ID10" t="e">
        <f>AND(#REF!,"AAAAAHv96u0=")</f>
        <v>#REF!</v>
      </c>
      <c r="IE10" t="e">
        <f>AND(#REF!,"AAAAAHv96u4=")</f>
        <v>#REF!</v>
      </c>
      <c r="IF10" t="e">
        <f>AND(#REF!,"AAAAAHv96u8=")</f>
        <v>#REF!</v>
      </c>
      <c r="IG10" t="e">
        <f>AND(#REF!,"AAAAAHv96vA=")</f>
        <v>#REF!</v>
      </c>
      <c r="IH10" t="e">
        <f>AND(#REF!,"AAAAAHv96vE=")</f>
        <v>#REF!</v>
      </c>
      <c r="II10" t="e">
        <f>AND(#REF!,"AAAAAHv96vI=")</f>
        <v>#REF!</v>
      </c>
      <c r="IJ10" t="e">
        <f>AND(#REF!,"AAAAAHv96vM=")</f>
        <v>#REF!</v>
      </c>
      <c r="IK10" t="e">
        <f>AND(#REF!,"AAAAAHv96vQ=")</f>
        <v>#REF!</v>
      </c>
      <c r="IL10" t="e">
        <f>AND(#REF!,"AAAAAHv96vU=")</f>
        <v>#REF!</v>
      </c>
      <c r="IM10" t="e">
        <f>AND(#REF!,"AAAAAHv96vY=")</f>
        <v>#REF!</v>
      </c>
      <c r="IN10" t="e">
        <f>AND(#REF!,"AAAAAHv96vc=")</f>
        <v>#REF!</v>
      </c>
      <c r="IO10" t="e">
        <f>AND(#REF!,"AAAAAHv96vg=")</f>
        <v>#REF!</v>
      </c>
      <c r="IP10" t="e">
        <f>AND(#REF!,"AAAAAHv96vk=")</f>
        <v>#REF!</v>
      </c>
      <c r="IQ10" t="e">
        <f>AND(#REF!,"AAAAAHv96vo=")</f>
        <v>#REF!</v>
      </c>
      <c r="IR10" t="e">
        <f>AND(#REF!,"AAAAAHv96vs=")</f>
        <v>#REF!</v>
      </c>
      <c r="IS10" t="e">
        <f>AND(#REF!,"AAAAAHv96vw=")</f>
        <v>#REF!</v>
      </c>
      <c r="IT10" t="e">
        <f>AND(#REF!,"AAAAAHv96v0=")</f>
        <v>#REF!</v>
      </c>
      <c r="IU10" t="e">
        <f>AND(#REF!,"AAAAAHv96v4=")</f>
        <v>#REF!</v>
      </c>
      <c r="IV10" t="e">
        <f>AND(#REF!,"AAAAAHv96v8=")</f>
        <v>#REF!</v>
      </c>
    </row>
    <row r="11" spans="1:256" x14ac:dyDescent="0.2">
      <c r="A11" t="e">
        <f>AND(#REF!,"AAAAAH/73AA=")</f>
        <v>#REF!</v>
      </c>
      <c r="B11" t="e">
        <f>AND(#REF!,"AAAAAH/73AE=")</f>
        <v>#REF!</v>
      </c>
      <c r="C11" t="e">
        <f>AND(#REF!,"AAAAAH/73AI=")</f>
        <v>#REF!</v>
      </c>
      <c r="D11" t="e">
        <f>AND(#REF!,"AAAAAH/73AM=")</f>
        <v>#REF!</v>
      </c>
      <c r="E11" t="e">
        <f>IF(#REF!,"AAAAAH/73AQ=",0)</f>
        <v>#REF!</v>
      </c>
      <c r="F11" t="e">
        <f>AND(#REF!,"AAAAAH/73AU=")</f>
        <v>#REF!</v>
      </c>
      <c r="G11" t="e">
        <f>AND(#REF!,"AAAAAH/73AY=")</f>
        <v>#REF!</v>
      </c>
      <c r="H11" t="e">
        <f>AND(#REF!,"AAAAAH/73Ac=")</f>
        <v>#REF!</v>
      </c>
      <c r="I11" t="e">
        <f>AND(#REF!,"AAAAAH/73Ag=")</f>
        <v>#REF!</v>
      </c>
      <c r="J11" t="e">
        <f>AND(#REF!,"AAAAAH/73Ak=")</f>
        <v>#REF!</v>
      </c>
      <c r="K11" t="e">
        <f>AND(#REF!,"AAAAAH/73Ao=")</f>
        <v>#REF!</v>
      </c>
      <c r="L11" t="e">
        <f>AND(#REF!,"AAAAAH/73As=")</f>
        <v>#REF!</v>
      </c>
      <c r="M11" t="e">
        <f>AND(#REF!,"AAAAAH/73Aw=")</f>
        <v>#REF!</v>
      </c>
      <c r="N11" t="e">
        <f>AND(#REF!,"AAAAAH/73A0=")</f>
        <v>#REF!</v>
      </c>
      <c r="O11" t="e">
        <f>AND(#REF!,"AAAAAH/73A4=")</f>
        <v>#REF!</v>
      </c>
      <c r="P11" t="e">
        <f>AND(#REF!,"AAAAAH/73A8=")</f>
        <v>#REF!</v>
      </c>
      <c r="Q11" t="e">
        <f>AND(#REF!,"AAAAAH/73BA=")</f>
        <v>#REF!</v>
      </c>
      <c r="R11" t="e">
        <f>AND(#REF!,"AAAAAH/73BE=")</f>
        <v>#REF!</v>
      </c>
      <c r="S11" t="e">
        <f>AND(#REF!,"AAAAAH/73BI=")</f>
        <v>#REF!</v>
      </c>
      <c r="T11" t="e">
        <f>AND(#REF!,"AAAAAH/73BM=")</f>
        <v>#REF!</v>
      </c>
      <c r="U11" t="e">
        <f>AND(#REF!,"AAAAAH/73BQ=")</f>
        <v>#REF!</v>
      </c>
      <c r="V11" t="e">
        <f>AND(#REF!,"AAAAAH/73BU=")</f>
        <v>#REF!</v>
      </c>
      <c r="W11" t="e">
        <f>AND(#REF!,"AAAAAH/73BY=")</f>
        <v>#REF!</v>
      </c>
      <c r="X11" t="e">
        <f>AND(#REF!,"AAAAAH/73Bc=")</f>
        <v>#REF!</v>
      </c>
      <c r="Y11" t="e">
        <f>AND(#REF!,"AAAAAH/73Bg=")</f>
        <v>#REF!</v>
      </c>
      <c r="Z11" t="e">
        <f>AND(#REF!,"AAAAAH/73Bk=")</f>
        <v>#REF!</v>
      </c>
      <c r="AA11" t="e">
        <f>AND(#REF!,"AAAAAH/73Bo=")</f>
        <v>#REF!</v>
      </c>
      <c r="AB11" t="e">
        <f>AND(#REF!,"AAAAAH/73Bs=")</f>
        <v>#REF!</v>
      </c>
      <c r="AC11" t="e">
        <f>AND(#REF!,"AAAAAH/73Bw=")</f>
        <v>#REF!</v>
      </c>
      <c r="AD11" t="e">
        <f>AND(#REF!,"AAAAAH/73B0=")</f>
        <v>#REF!</v>
      </c>
      <c r="AE11" t="e">
        <f>AND(#REF!,"AAAAAH/73B4=")</f>
        <v>#REF!</v>
      </c>
      <c r="AF11" t="e">
        <f>IF(#REF!,"AAAAAH/73B8=",0)</f>
        <v>#REF!</v>
      </c>
      <c r="AG11" t="e">
        <f>AND(#REF!,"AAAAAH/73CA=")</f>
        <v>#REF!</v>
      </c>
      <c r="AH11" t="e">
        <f>AND(#REF!,"AAAAAH/73CE=")</f>
        <v>#REF!</v>
      </c>
      <c r="AI11" t="e">
        <f>AND(#REF!,"AAAAAH/73CI=")</f>
        <v>#REF!</v>
      </c>
      <c r="AJ11" t="e">
        <f>AND(#REF!,"AAAAAH/73CM=")</f>
        <v>#REF!</v>
      </c>
      <c r="AK11" t="e">
        <f>AND(#REF!,"AAAAAH/73CQ=")</f>
        <v>#REF!</v>
      </c>
      <c r="AL11" t="e">
        <f>AND(#REF!,"AAAAAH/73CU=")</f>
        <v>#REF!</v>
      </c>
      <c r="AM11" t="e">
        <f>AND(#REF!,"AAAAAH/73CY=")</f>
        <v>#REF!</v>
      </c>
      <c r="AN11" t="e">
        <f>AND(#REF!,"AAAAAH/73Cc=")</f>
        <v>#REF!</v>
      </c>
      <c r="AO11" t="e">
        <f>AND(#REF!,"AAAAAH/73Cg=")</f>
        <v>#REF!</v>
      </c>
      <c r="AP11" t="e">
        <f>AND(#REF!,"AAAAAH/73Ck=")</f>
        <v>#REF!</v>
      </c>
      <c r="AQ11" t="e">
        <f>AND(#REF!,"AAAAAH/73Co=")</f>
        <v>#REF!</v>
      </c>
      <c r="AR11" t="e">
        <f>AND(#REF!,"AAAAAH/73Cs=")</f>
        <v>#REF!</v>
      </c>
      <c r="AS11" t="e">
        <f>AND(#REF!,"AAAAAH/73Cw=")</f>
        <v>#REF!</v>
      </c>
      <c r="AT11" t="e">
        <f>AND(#REF!,"AAAAAH/73C0=")</f>
        <v>#REF!</v>
      </c>
      <c r="AU11" t="e">
        <f>AND(#REF!,"AAAAAH/73C4=")</f>
        <v>#REF!</v>
      </c>
      <c r="AV11" t="e">
        <f>AND(#REF!,"AAAAAH/73C8=")</f>
        <v>#REF!</v>
      </c>
      <c r="AW11" t="e">
        <f>AND(#REF!,"AAAAAH/73DA=")</f>
        <v>#REF!</v>
      </c>
      <c r="AX11" t="e">
        <f>AND(#REF!,"AAAAAH/73DE=")</f>
        <v>#REF!</v>
      </c>
      <c r="AY11" t="e">
        <f>AND(#REF!,"AAAAAH/73DI=")</f>
        <v>#REF!</v>
      </c>
      <c r="AZ11" t="e">
        <f>AND(#REF!,"AAAAAH/73DM=")</f>
        <v>#REF!</v>
      </c>
      <c r="BA11" t="e">
        <f>AND(#REF!,"AAAAAH/73DQ=")</f>
        <v>#REF!</v>
      </c>
      <c r="BB11" t="e">
        <f>AND(#REF!,"AAAAAH/73DU=")</f>
        <v>#REF!</v>
      </c>
      <c r="BC11" t="e">
        <f>AND(#REF!,"AAAAAH/73DY=")</f>
        <v>#REF!</v>
      </c>
      <c r="BD11" t="e">
        <f>AND(#REF!,"AAAAAH/73Dc=")</f>
        <v>#REF!</v>
      </c>
      <c r="BE11" t="e">
        <f>AND(#REF!,"AAAAAH/73Dg=")</f>
        <v>#REF!</v>
      </c>
      <c r="BF11" t="e">
        <f>AND(#REF!,"AAAAAH/73Dk=")</f>
        <v>#REF!</v>
      </c>
      <c r="BG11" t="e">
        <f>IF(#REF!,"AAAAAH/73Do=",0)</f>
        <v>#REF!</v>
      </c>
      <c r="BH11" t="e">
        <f>AND(#REF!,"AAAAAH/73Ds=")</f>
        <v>#REF!</v>
      </c>
      <c r="BI11" t="e">
        <f>AND(#REF!,"AAAAAH/73Dw=")</f>
        <v>#REF!</v>
      </c>
      <c r="BJ11" t="e">
        <f>AND(#REF!,"AAAAAH/73D0=")</f>
        <v>#REF!</v>
      </c>
      <c r="BK11" t="e">
        <f>AND(#REF!,"AAAAAH/73D4=")</f>
        <v>#REF!</v>
      </c>
      <c r="BL11" t="e">
        <f>AND(#REF!,"AAAAAH/73D8=")</f>
        <v>#REF!</v>
      </c>
      <c r="BM11" t="e">
        <f>AND(#REF!,"AAAAAH/73EA=")</f>
        <v>#REF!</v>
      </c>
      <c r="BN11" t="e">
        <f>AND(#REF!,"AAAAAH/73EE=")</f>
        <v>#REF!</v>
      </c>
      <c r="BO11" t="e">
        <f>AND(#REF!,"AAAAAH/73EI=")</f>
        <v>#REF!</v>
      </c>
      <c r="BP11" t="e">
        <f>AND(#REF!,"AAAAAH/73EM=")</f>
        <v>#REF!</v>
      </c>
      <c r="BQ11" t="e">
        <f>AND(#REF!,"AAAAAH/73EQ=")</f>
        <v>#REF!</v>
      </c>
      <c r="BR11" t="e">
        <f>AND(#REF!,"AAAAAH/73EU=")</f>
        <v>#REF!</v>
      </c>
      <c r="BS11" t="e">
        <f>AND(#REF!,"AAAAAH/73EY=")</f>
        <v>#REF!</v>
      </c>
      <c r="BT11" t="e">
        <f>AND(#REF!,"AAAAAH/73Ec=")</f>
        <v>#REF!</v>
      </c>
      <c r="BU11" t="e">
        <f>AND(#REF!,"AAAAAH/73Eg=")</f>
        <v>#REF!</v>
      </c>
      <c r="BV11" t="e">
        <f>AND(#REF!,"AAAAAH/73Ek=")</f>
        <v>#REF!</v>
      </c>
      <c r="BW11" t="e">
        <f>AND(#REF!,"AAAAAH/73Eo=")</f>
        <v>#REF!</v>
      </c>
      <c r="BX11" t="e">
        <f>AND(#REF!,"AAAAAH/73Es=")</f>
        <v>#REF!</v>
      </c>
      <c r="BY11" t="e">
        <f>AND(#REF!,"AAAAAH/73Ew=")</f>
        <v>#REF!</v>
      </c>
      <c r="BZ11" t="e">
        <f>AND(#REF!,"AAAAAH/73E0=")</f>
        <v>#REF!</v>
      </c>
      <c r="CA11" t="e">
        <f>AND(#REF!,"AAAAAH/73E4=")</f>
        <v>#REF!</v>
      </c>
      <c r="CB11" t="e">
        <f>AND(#REF!,"AAAAAH/73E8=")</f>
        <v>#REF!</v>
      </c>
      <c r="CC11" t="e">
        <f>AND(#REF!,"AAAAAH/73FA=")</f>
        <v>#REF!</v>
      </c>
      <c r="CD11" t="e">
        <f>AND(#REF!,"AAAAAH/73FE=")</f>
        <v>#REF!</v>
      </c>
      <c r="CE11" t="e">
        <f>AND(#REF!,"AAAAAH/73FI=")</f>
        <v>#REF!</v>
      </c>
      <c r="CF11" t="e">
        <f>AND(#REF!,"AAAAAH/73FM=")</f>
        <v>#REF!</v>
      </c>
      <c r="CG11" t="e">
        <f>AND(#REF!,"AAAAAH/73FQ=")</f>
        <v>#REF!</v>
      </c>
      <c r="CH11" t="e">
        <f>IF(#REF!,"AAAAAH/73FU=",0)</f>
        <v>#REF!</v>
      </c>
      <c r="CI11" t="e">
        <f>AND(#REF!,"AAAAAH/73FY=")</f>
        <v>#REF!</v>
      </c>
      <c r="CJ11" t="e">
        <f>AND(#REF!,"AAAAAH/73Fc=")</f>
        <v>#REF!</v>
      </c>
      <c r="CK11" t="e">
        <f>AND(#REF!,"AAAAAH/73Fg=")</f>
        <v>#REF!</v>
      </c>
      <c r="CL11" t="e">
        <f>AND(#REF!,"AAAAAH/73Fk=")</f>
        <v>#REF!</v>
      </c>
      <c r="CM11" t="e">
        <f>AND(#REF!,"AAAAAH/73Fo=")</f>
        <v>#REF!</v>
      </c>
      <c r="CN11" t="e">
        <f>AND(#REF!,"AAAAAH/73Fs=")</f>
        <v>#REF!</v>
      </c>
      <c r="CO11" t="e">
        <f>AND(#REF!,"AAAAAH/73Fw=")</f>
        <v>#REF!</v>
      </c>
      <c r="CP11" t="e">
        <f>AND(#REF!,"AAAAAH/73F0=")</f>
        <v>#REF!</v>
      </c>
      <c r="CQ11" t="e">
        <f>AND(#REF!,"AAAAAH/73F4=")</f>
        <v>#REF!</v>
      </c>
      <c r="CR11" t="e">
        <f>AND(#REF!,"AAAAAH/73F8=")</f>
        <v>#REF!</v>
      </c>
      <c r="CS11" t="e">
        <f>AND(#REF!,"AAAAAH/73GA=")</f>
        <v>#REF!</v>
      </c>
      <c r="CT11" t="e">
        <f>AND(#REF!,"AAAAAH/73GE=")</f>
        <v>#REF!</v>
      </c>
      <c r="CU11" t="e">
        <f>AND(#REF!,"AAAAAH/73GI=")</f>
        <v>#REF!</v>
      </c>
      <c r="CV11" t="e">
        <f>AND(#REF!,"AAAAAH/73GM=")</f>
        <v>#REF!</v>
      </c>
      <c r="CW11" t="e">
        <f>AND(#REF!,"AAAAAH/73GQ=")</f>
        <v>#REF!</v>
      </c>
      <c r="CX11" t="e">
        <f>AND(#REF!,"AAAAAH/73GU=")</f>
        <v>#REF!</v>
      </c>
      <c r="CY11" t="e">
        <f>AND(#REF!,"AAAAAH/73GY=")</f>
        <v>#REF!</v>
      </c>
      <c r="CZ11" t="e">
        <f>AND(#REF!,"AAAAAH/73Gc=")</f>
        <v>#REF!</v>
      </c>
      <c r="DA11" t="e">
        <f>AND(#REF!,"AAAAAH/73Gg=")</f>
        <v>#REF!</v>
      </c>
      <c r="DB11" t="e">
        <f>AND(#REF!,"AAAAAH/73Gk=")</f>
        <v>#REF!</v>
      </c>
      <c r="DC11" t="e">
        <f>AND(#REF!,"AAAAAH/73Go=")</f>
        <v>#REF!</v>
      </c>
      <c r="DD11" t="e">
        <f>AND(#REF!,"AAAAAH/73Gs=")</f>
        <v>#REF!</v>
      </c>
      <c r="DE11" t="e">
        <f>AND(#REF!,"AAAAAH/73Gw=")</f>
        <v>#REF!</v>
      </c>
      <c r="DF11" t="e">
        <f>AND(#REF!,"AAAAAH/73G0=")</f>
        <v>#REF!</v>
      </c>
      <c r="DG11" t="e">
        <f>AND(#REF!,"AAAAAH/73G4=")</f>
        <v>#REF!</v>
      </c>
      <c r="DH11" t="e">
        <f>AND(#REF!,"AAAAAH/73G8=")</f>
        <v>#REF!</v>
      </c>
      <c r="DI11" t="e">
        <f>IF(#REF!,"AAAAAH/73HA=",0)</f>
        <v>#REF!</v>
      </c>
      <c r="DJ11" t="e">
        <f>AND(#REF!,"AAAAAH/73HE=")</f>
        <v>#REF!</v>
      </c>
      <c r="DK11" t="e">
        <f>AND(#REF!,"AAAAAH/73HI=")</f>
        <v>#REF!</v>
      </c>
      <c r="DL11" t="e">
        <f>AND(#REF!,"AAAAAH/73HM=")</f>
        <v>#REF!</v>
      </c>
      <c r="DM11" t="e">
        <f>AND(#REF!,"AAAAAH/73HQ=")</f>
        <v>#REF!</v>
      </c>
      <c r="DN11" t="e">
        <f>AND(#REF!,"AAAAAH/73HU=")</f>
        <v>#REF!</v>
      </c>
      <c r="DO11" t="e">
        <f>AND(#REF!,"AAAAAH/73HY=")</f>
        <v>#REF!</v>
      </c>
      <c r="DP11" t="e">
        <f>AND(#REF!,"AAAAAH/73Hc=")</f>
        <v>#REF!</v>
      </c>
      <c r="DQ11" t="e">
        <f>AND(#REF!,"AAAAAH/73Hg=")</f>
        <v>#REF!</v>
      </c>
      <c r="DR11" t="e">
        <f>AND(#REF!,"AAAAAH/73Hk=")</f>
        <v>#REF!</v>
      </c>
      <c r="DS11" t="e">
        <f>AND(#REF!,"AAAAAH/73Ho=")</f>
        <v>#REF!</v>
      </c>
      <c r="DT11" t="e">
        <f>AND(#REF!,"AAAAAH/73Hs=")</f>
        <v>#REF!</v>
      </c>
      <c r="DU11" t="e">
        <f>AND(#REF!,"AAAAAH/73Hw=")</f>
        <v>#REF!</v>
      </c>
      <c r="DV11" t="e">
        <f>AND(#REF!,"AAAAAH/73H0=")</f>
        <v>#REF!</v>
      </c>
      <c r="DW11" t="e">
        <f>AND(#REF!,"AAAAAH/73H4=")</f>
        <v>#REF!</v>
      </c>
      <c r="DX11" t="e">
        <f>AND(#REF!,"AAAAAH/73H8=")</f>
        <v>#REF!</v>
      </c>
      <c r="DY11" t="e">
        <f>AND(#REF!,"AAAAAH/73IA=")</f>
        <v>#REF!</v>
      </c>
      <c r="DZ11" t="e">
        <f>AND(#REF!,"AAAAAH/73IE=")</f>
        <v>#REF!</v>
      </c>
      <c r="EA11" t="e">
        <f>AND(#REF!,"AAAAAH/73II=")</f>
        <v>#REF!</v>
      </c>
      <c r="EB11" t="e">
        <f>AND(#REF!,"AAAAAH/73IM=")</f>
        <v>#REF!</v>
      </c>
      <c r="EC11" t="e">
        <f>AND(#REF!,"AAAAAH/73IQ=")</f>
        <v>#REF!</v>
      </c>
      <c r="ED11" t="e">
        <f>AND(#REF!,"AAAAAH/73IU=")</f>
        <v>#REF!</v>
      </c>
      <c r="EE11" t="e">
        <f>AND(#REF!,"AAAAAH/73IY=")</f>
        <v>#REF!</v>
      </c>
      <c r="EF11" t="e">
        <f>AND(#REF!,"AAAAAH/73Ic=")</f>
        <v>#REF!</v>
      </c>
      <c r="EG11" t="e">
        <f>AND(#REF!,"AAAAAH/73Ig=")</f>
        <v>#REF!</v>
      </c>
      <c r="EH11" t="e">
        <f>AND(#REF!,"AAAAAH/73Ik=")</f>
        <v>#REF!</v>
      </c>
      <c r="EI11" t="e">
        <f>AND(#REF!,"AAAAAH/73Io=")</f>
        <v>#REF!</v>
      </c>
      <c r="EJ11" t="e">
        <f>IF(#REF!,"AAAAAH/73Is=",0)</f>
        <v>#REF!</v>
      </c>
      <c r="EK11" t="e">
        <f>AND(#REF!,"AAAAAH/73Iw=")</f>
        <v>#REF!</v>
      </c>
      <c r="EL11" t="e">
        <f>AND(#REF!,"AAAAAH/73I0=")</f>
        <v>#REF!</v>
      </c>
      <c r="EM11" t="e">
        <f>AND(#REF!,"AAAAAH/73I4=")</f>
        <v>#REF!</v>
      </c>
      <c r="EN11" t="e">
        <f>AND(#REF!,"AAAAAH/73I8=")</f>
        <v>#REF!</v>
      </c>
      <c r="EO11" t="e">
        <f>AND(#REF!,"AAAAAH/73JA=")</f>
        <v>#REF!</v>
      </c>
      <c r="EP11" t="e">
        <f>AND(#REF!,"AAAAAH/73JE=")</f>
        <v>#REF!</v>
      </c>
      <c r="EQ11" t="e">
        <f>AND(#REF!,"AAAAAH/73JI=")</f>
        <v>#REF!</v>
      </c>
      <c r="ER11" t="e">
        <f>AND(#REF!,"AAAAAH/73JM=")</f>
        <v>#REF!</v>
      </c>
      <c r="ES11" t="e">
        <f>AND(#REF!,"AAAAAH/73JQ=")</f>
        <v>#REF!</v>
      </c>
      <c r="ET11" t="e">
        <f>AND(#REF!,"AAAAAH/73JU=")</f>
        <v>#REF!</v>
      </c>
      <c r="EU11" t="e">
        <f>AND(#REF!,"AAAAAH/73JY=")</f>
        <v>#REF!</v>
      </c>
      <c r="EV11" t="e">
        <f>AND(#REF!,"AAAAAH/73Jc=")</f>
        <v>#REF!</v>
      </c>
      <c r="EW11" t="e">
        <f>AND(#REF!,"AAAAAH/73Jg=")</f>
        <v>#REF!</v>
      </c>
      <c r="EX11" t="e">
        <f>AND(#REF!,"AAAAAH/73Jk=")</f>
        <v>#REF!</v>
      </c>
      <c r="EY11" t="e">
        <f>AND(#REF!,"AAAAAH/73Jo=")</f>
        <v>#REF!</v>
      </c>
      <c r="EZ11" t="e">
        <f>AND(#REF!,"AAAAAH/73Js=")</f>
        <v>#REF!</v>
      </c>
      <c r="FA11" t="e">
        <f>AND(#REF!,"AAAAAH/73Jw=")</f>
        <v>#REF!</v>
      </c>
      <c r="FB11" t="e">
        <f>AND(#REF!,"AAAAAH/73J0=")</f>
        <v>#REF!</v>
      </c>
      <c r="FC11" t="e">
        <f>AND(#REF!,"AAAAAH/73J4=")</f>
        <v>#REF!</v>
      </c>
      <c r="FD11" t="e">
        <f>AND(#REF!,"AAAAAH/73J8=")</f>
        <v>#REF!</v>
      </c>
      <c r="FE11" t="e">
        <f>AND(#REF!,"AAAAAH/73KA=")</f>
        <v>#REF!</v>
      </c>
      <c r="FF11" t="e">
        <f>AND(#REF!,"AAAAAH/73KE=")</f>
        <v>#REF!</v>
      </c>
      <c r="FG11" t="e">
        <f>AND(#REF!,"AAAAAH/73KI=")</f>
        <v>#REF!</v>
      </c>
      <c r="FH11" t="e">
        <f>AND(#REF!,"AAAAAH/73KM=")</f>
        <v>#REF!</v>
      </c>
      <c r="FI11" t="e">
        <f>AND(#REF!,"AAAAAH/73KQ=")</f>
        <v>#REF!</v>
      </c>
      <c r="FJ11" t="e">
        <f>AND(#REF!,"AAAAAH/73KU=")</f>
        <v>#REF!</v>
      </c>
      <c r="FK11" t="e">
        <f>IF(#REF!,"AAAAAH/73KY=",0)</f>
        <v>#REF!</v>
      </c>
      <c r="FL11" t="e">
        <f>AND(#REF!,"AAAAAH/73Kc=")</f>
        <v>#REF!</v>
      </c>
      <c r="FM11" t="e">
        <f>AND(#REF!,"AAAAAH/73Kg=")</f>
        <v>#REF!</v>
      </c>
      <c r="FN11" t="e">
        <f>AND(#REF!,"AAAAAH/73Kk=")</f>
        <v>#REF!</v>
      </c>
      <c r="FO11" t="e">
        <f>AND(#REF!,"AAAAAH/73Ko=")</f>
        <v>#REF!</v>
      </c>
      <c r="FP11" t="e">
        <f>AND(#REF!,"AAAAAH/73Ks=")</f>
        <v>#REF!</v>
      </c>
      <c r="FQ11" t="e">
        <f>AND(#REF!,"AAAAAH/73Kw=")</f>
        <v>#REF!</v>
      </c>
      <c r="FR11" t="e">
        <f>AND(#REF!,"AAAAAH/73K0=")</f>
        <v>#REF!</v>
      </c>
      <c r="FS11" t="e">
        <f>AND(#REF!,"AAAAAH/73K4=")</f>
        <v>#REF!</v>
      </c>
      <c r="FT11" t="e">
        <f>AND(#REF!,"AAAAAH/73K8=")</f>
        <v>#REF!</v>
      </c>
      <c r="FU11" t="e">
        <f>AND(#REF!,"AAAAAH/73LA=")</f>
        <v>#REF!</v>
      </c>
      <c r="FV11" t="e">
        <f>AND(#REF!,"AAAAAH/73LE=")</f>
        <v>#REF!</v>
      </c>
      <c r="FW11" t="e">
        <f>AND(#REF!,"AAAAAH/73LI=")</f>
        <v>#REF!</v>
      </c>
      <c r="FX11" t="e">
        <f>AND(#REF!,"AAAAAH/73LM=")</f>
        <v>#REF!</v>
      </c>
      <c r="FY11" t="e">
        <f>AND(#REF!,"AAAAAH/73LQ=")</f>
        <v>#REF!</v>
      </c>
      <c r="FZ11" t="e">
        <f>AND(#REF!,"AAAAAH/73LU=")</f>
        <v>#REF!</v>
      </c>
      <c r="GA11" t="e">
        <f>AND(#REF!,"AAAAAH/73LY=")</f>
        <v>#REF!</v>
      </c>
      <c r="GB11" t="e">
        <f>AND(#REF!,"AAAAAH/73Lc=")</f>
        <v>#REF!</v>
      </c>
      <c r="GC11" t="e">
        <f>AND(#REF!,"AAAAAH/73Lg=")</f>
        <v>#REF!</v>
      </c>
      <c r="GD11" t="e">
        <f>AND(#REF!,"AAAAAH/73Lk=")</f>
        <v>#REF!</v>
      </c>
      <c r="GE11" t="e">
        <f>AND(#REF!,"AAAAAH/73Lo=")</f>
        <v>#REF!</v>
      </c>
      <c r="GF11" t="e">
        <f>AND(#REF!,"AAAAAH/73Ls=")</f>
        <v>#REF!</v>
      </c>
      <c r="GG11" t="e">
        <f>AND(#REF!,"AAAAAH/73Lw=")</f>
        <v>#REF!</v>
      </c>
      <c r="GH11" t="e">
        <f>AND(#REF!,"AAAAAH/73L0=")</f>
        <v>#REF!</v>
      </c>
      <c r="GI11" t="e">
        <f>AND(#REF!,"AAAAAH/73L4=")</f>
        <v>#REF!</v>
      </c>
      <c r="GJ11" t="e">
        <f>AND(#REF!,"AAAAAH/73L8=")</f>
        <v>#REF!</v>
      </c>
      <c r="GK11" t="e">
        <f>AND(#REF!,"AAAAAH/73MA=")</f>
        <v>#REF!</v>
      </c>
      <c r="GL11" t="e">
        <f>IF(#REF!,"AAAAAH/73ME=",0)</f>
        <v>#REF!</v>
      </c>
      <c r="GM11" t="e">
        <f>AND(#REF!,"AAAAAH/73MI=")</f>
        <v>#REF!</v>
      </c>
      <c r="GN11" t="e">
        <f>AND(#REF!,"AAAAAH/73MM=")</f>
        <v>#REF!</v>
      </c>
      <c r="GO11" t="e">
        <f>AND(#REF!,"AAAAAH/73MQ=")</f>
        <v>#REF!</v>
      </c>
      <c r="GP11" t="e">
        <f>AND(#REF!,"AAAAAH/73MU=")</f>
        <v>#REF!</v>
      </c>
      <c r="GQ11" t="e">
        <f>AND(#REF!,"AAAAAH/73MY=")</f>
        <v>#REF!</v>
      </c>
      <c r="GR11" t="e">
        <f>AND(#REF!,"AAAAAH/73Mc=")</f>
        <v>#REF!</v>
      </c>
      <c r="GS11" t="e">
        <f>AND(#REF!,"AAAAAH/73Mg=")</f>
        <v>#REF!</v>
      </c>
      <c r="GT11" t="e">
        <f>AND(#REF!,"AAAAAH/73Mk=")</f>
        <v>#REF!</v>
      </c>
      <c r="GU11" t="e">
        <f>AND(#REF!,"AAAAAH/73Mo=")</f>
        <v>#REF!</v>
      </c>
      <c r="GV11" t="e">
        <f>AND(#REF!,"AAAAAH/73Ms=")</f>
        <v>#REF!</v>
      </c>
      <c r="GW11" t="e">
        <f>AND(#REF!,"AAAAAH/73Mw=")</f>
        <v>#REF!</v>
      </c>
      <c r="GX11" t="e">
        <f>AND(#REF!,"AAAAAH/73M0=")</f>
        <v>#REF!</v>
      </c>
      <c r="GY11" t="e">
        <f>AND(#REF!,"AAAAAH/73M4=")</f>
        <v>#REF!</v>
      </c>
      <c r="GZ11" t="e">
        <f>AND(#REF!,"AAAAAH/73M8=")</f>
        <v>#REF!</v>
      </c>
      <c r="HA11" t="e">
        <f>AND(#REF!,"AAAAAH/73NA=")</f>
        <v>#REF!</v>
      </c>
      <c r="HB11" t="e">
        <f>AND(#REF!,"AAAAAH/73NE=")</f>
        <v>#REF!</v>
      </c>
      <c r="HC11" t="e">
        <f>AND(#REF!,"AAAAAH/73NI=")</f>
        <v>#REF!</v>
      </c>
      <c r="HD11" t="e">
        <f>AND(#REF!,"AAAAAH/73NM=")</f>
        <v>#REF!</v>
      </c>
      <c r="HE11" t="e">
        <f>AND(#REF!,"AAAAAH/73NQ=")</f>
        <v>#REF!</v>
      </c>
      <c r="HF11" t="e">
        <f>AND(#REF!,"AAAAAH/73NU=")</f>
        <v>#REF!</v>
      </c>
      <c r="HG11" t="e">
        <f>AND(#REF!,"AAAAAH/73NY=")</f>
        <v>#REF!</v>
      </c>
      <c r="HH11" t="e">
        <f>AND(#REF!,"AAAAAH/73Nc=")</f>
        <v>#REF!</v>
      </c>
      <c r="HI11" t="e">
        <f>AND(#REF!,"AAAAAH/73Ng=")</f>
        <v>#REF!</v>
      </c>
      <c r="HJ11" t="e">
        <f>AND(#REF!,"AAAAAH/73Nk=")</f>
        <v>#REF!</v>
      </c>
      <c r="HK11" t="e">
        <f>AND(#REF!,"AAAAAH/73No=")</f>
        <v>#REF!</v>
      </c>
      <c r="HL11" t="e">
        <f>AND(#REF!,"AAAAAH/73Ns=")</f>
        <v>#REF!</v>
      </c>
      <c r="HM11" t="e">
        <f>IF(#REF!,"AAAAAH/73Nw=",0)</f>
        <v>#REF!</v>
      </c>
      <c r="HN11" t="e">
        <f>IF(#REF!,"AAAAAH/73N0=",0)</f>
        <v>#REF!</v>
      </c>
      <c r="HO11" t="e">
        <f>IF(#REF!,"AAAAAH/73N4=",0)</f>
        <v>#REF!</v>
      </c>
      <c r="HP11" t="e">
        <f>IF(#REF!,"AAAAAH/73N8=",0)</f>
        <v>#REF!</v>
      </c>
      <c r="HQ11" t="e">
        <f>IF(#REF!,"AAAAAH/73OA=",0)</f>
        <v>#REF!</v>
      </c>
      <c r="HR11" t="e">
        <f>IF(#REF!,"AAAAAH/73OE=",0)</f>
        <v>#REF!</v>
      </c>
      <c r="HS11" t="e">
        <f>IF(#REF!,"AAAAAH/73OI=",0)</f>
        <v>#REF!</v>
      </c>
      <c r="HT11" t="e">
        <f>IF(#REF!,"AAAAAH/73OM=",0)</f>
        <v>#REF!</v>
      </c>
      <c r="HU11" t="e">
        <f>IF(#REF!,"AAAAAH/73OQ=",0)</f>
        <v>#REF!</v>
      </c>
      <c r="HV11" t="e">
        <f>IF(#REF!,"AAAAAH/73OU=",0)</f>
        <v>#REF!</v>
      </c>
      <c r="HW11" t="e">
        <f>IF(#REF!,"AAAAAH/73OY=",0)</f>
        <v>#REF!</v>
      </c>
      <c r="HX11" t="e">
        <f>IF(#REF!,"AAAAAH/73Oc=",0)</f>
        <v>#REF!</v>
      </c>
      <c r="HY11" t="e">
        <f>IF(#REF!,"AAAAAH/73Og=",0)</f>
        <v>#REF!</v>
      </c>
      <c r="HZ11" t="e">
        <f>IF(#REF!,"AAAAAH/73Ok=",0)</f>
        <v>#REF!</v>
      </c>
      <c r="IA11" t="e">
        <f>IF(#REF!,"AAAAAH/73Oo=",0)</f>
        <v>#REF!</v>
      </c>
      <c r="IB11" t="e">
        <f>IF(#REF!,"AAAAAH/73Os=",0)</f>
        <v>#REF!</v>
      </c>
      <c r="IC11" t="e">
        <f>IF(#REF!,"AAAAAH/73Ow=",0)</f>
        <v>#REF!</v>
      </c>
      <c r="ID11" t="e">
        <f>IF(#REF!,"AAAAAH/73O0=",0)</f>
        <v>#REF!</v>
      </c>
      <c r="IE11" t="e">
        <f>IF(#REF!,"AAAAAH/73O4=",0)</f>
        <v>#REF!</v>
      </c>
      <c r="IF11" t="e">
        <f>IF(#REF!,"AAAAAH/73O8=",0)</f>
        <v>#REF!</v>
      </c>
      <c r="IG11" t="e">
        <f>IF(#REF!,"AAAAAH/73PA=",0)</f>
        <v>#REF!</v>
      </c>
      <c r="IH11" t="e">
        <f>IF(#REF!,"AAAAAH/73PE=",0)</f>
        <v>#REF!</v>
      </c>
      <c r="II11" t="e">
        <f>IF(#REF!,"AAAAAH/73PI=",0)</f>
        <v>#REF!</v>
      </c>
      <c r="IJ11" t="e">
        <f>IF(#REF!,"AAAAAH/73PM=",0)</f>
        <v>#REF!</v>
      </c>
      <c r="IK11" t="e">
        <f>IF(#REF!,"AAAAAH/73PQ=",0)</f>
        <v>#REF!</v>
      </c>
      <c r="IL11" t="e">
        <f>IF(#REF!,"AAAAAH/73PU=",0)</f>
        <v>#REF!</v>
      </c>
      <c r="IM11" t="e">
        <f>IF(#REF!,"AAAAAH/73PY=",0)</f>
        <v>#REF!</v>
      </c>
      <c r="IN11" t="e">
        <f>AND(#REF!,"AAAAAH/73Pc=")</f>
        <v>#REF!</v>
      </c>
      <c r="IO11" t="e">
        <f>AND(#REF!,"AAAAAH/73Pg=")</f>
        <v>#REF!</v>
      </c>
      <c r="IP11" t="e">
        <f>AND(#REF!,"AAAAAH/73Pk=")</f>
        <v>#REF!</v>
      </c>
      <c r="IQ11" t="e">
        <f>AND(#REF!,"AAAAAH/73Po=")</f>
        <v>#REF!</v>
      </c>
      <c r="IR11" t="e">
        <f>AND(#REF!,"AAAAAH/73Ps=")</f>
        <v>#REF!</v>
      </c>
      <c r="IS11" t="e">
        <f>AND(#REF!,"AAAAAH/73Pw=")</f>
        <v>#REF!</v>
      </c>
      <c r="IT11" t="e">
        <f>AND(#REF!,"AAAAAH/73P0=")</f>
        <v>#REF!</v>
      </c>
      <c r="IU11" t="e">
        <f>AND(#REF!,"AAAAAH/73P4=")</f>
        <v>#REF!</v>
      </c>
      <c r="IV11" t="e">
        <f>AND(#REF!,"AAAAAH/73P8=")</f>
        <v>#REF!</v>
      </c>
    </row>
    <row r="12" spans="1:256" x14ac:dyDescent="0.2">
      <c r="A12" t="e">
        <f>AND(#REF!,"AAAAAHdvxwA=")</f>
        <v>#REF!</v>
      </c>
      <c r="B12" t="e">
        <f>AND(#REF!,"AAAAAHdvxwE=")</f>
        <v>#REF!</v>
      </c>
      <c r="C12" t="e">
        <f>AND(#REF!,"AAAAAHdvxwI=")</f>
        <v>#REF!</v>
      </c>
      <c r="D12" t="e">
        <f>AND(#REF!,"AAAAAHdvxwM=")</f>
        <v>#REF!</v>
      </c>
      <c r="E12" t="e">
        <f>AND(#REF!,"AAAAAHdvxwQ=")</f>
        <v>#REF!</v>
      </c>
      <c r="F12" t="e">
        <f>AND(#REF!,"AAAAAHdvxwU=")</f>
        <v>#REF!</v>
      </c>
      <c r="G12" t="e">
        <f>AND(#REF!,"AAAAAHdvxwY=")</f>
        <v>#REF!</v>
      </c>
      <c r="H12" t="e">
        <f>AND(#REF!,"AAAAAHdvxwc=")</f>
        <v>#REF!</v>
      </c>
      <c r="I12" t="e">
        <f>AND(#REF!,"AAAAAHdvxwg=")</f>
        <v>#REF!</v>
      </c>
      <c r="J12" t="e">
        <f>AND(#REF!,"AAAAAHdvxwk=")</f>
        <v>#REF!</v>
      </c>
      <c r="K12" t="e">
        <f>AND(#REF!,"AAAAAHdvxwo=")</f>
        <v>#REF!</v>
      </c>
      <c r="L12" t="e">
        <f>AND(#REF!,"AAAAAHdvxws=")</f>
        <v>#REF!</v>
      </c>
      <c r="M12" t="e">
        <f>AND(#REF!,"AAAAAHdvxww=")</f>
        <v>#REF!</v>
      </c>
      <c r="N12" t="e">
        <f>AND(#REF!,"AAAAAHdvxw0=")</f>
        <v>#REF!</v>
      </c>
      <c r="O12" t="e">
        <f>AND(#REF!,"AAAAAHdvxw4=")</f>
        <v>#REF!</v>
      </c>
      <c r="P12" t="e">
        <f>AND(#REF!,"AAAAAHdvxw8=")</f>
        <v>#REF!</v>
      </c>
      <c r="Q12" t="e">
        <f>AND(#REF!,"AAAAAHdvxxA=")</f>
        <v>#REF!</v>
      </c>
      <c r="R12" t="e">
        <f>IF(#REF!,"AAAAAHdvxxE=",0)</f>
        <v>#REF!</v>
      </c>
      <c r="S12" t="e">
        <f>AND(#REF!,"AAAAAHdvxxI=")</f>
        <v>#REF!</v>
      </c>
      <c r="T12" t="e">
        <f>AND(#REF!,"AAAAAHdvxxM=")</f>
        <v>#REF!</v>
      </c>
      <c r="U12" t="e">
        <f>AND(#REF!,"AAAAAHdvxxQ=")</f>
        <v>#REF!</v>
      </c>
      <c r="V12" t="e">
        <f>AND(#REF!,"AAAAAHdvxxU=")</f>
        <v>#REF!</v>
      </c>
      <c r="W12" t="e">
        <f>AND(#REF!,"AAAAAHdvxxY=")</f>
        <v>#REF!</v>
      </c>
      <c r="X12" t="e">
        <f>AND(#REF!,"AAAAAHdvxxc=")</f>
        <v>#REF!</v>
      </c>
      <c r="Y12" t="e">
        <f>AND(#REF!,"AAAAAHdvxxg=")</f>
        <v>#REF!</v>
      </c>
      <c r="Z12" t="e">
        <f>AND(#REF!,"AAAAAHdvxxk=")</f>
        <v>#REF!</v>
      </c>
      <c r="AA12" t="e">
        <f>AND(#REF!,"AAAAAHdvxxo=")</f>
        <v>#REF!</v>
      </c>
      <c r="AB12" t="e">
        <f>AND(#REF!,"AAAAAHdvxxs=")</f>
        <v>#REF!</v>
      </c>
      <c r="AC12" t="e">
        <f>AND(#REF!,"AAAAAHdvxxw=")</f>
        <v>#REF!</v>
      </c>
      <c r="AD12" t="e">
        <f>AND(#REF!,"AAAAAHdvxx0=")</f>
        <v>#REF!</v>
      </c>
      <c r="AE12" t="e">
        <f>AND(#REF!,"AAAAAHdvxx4=")</f>
        <v>#REF!</v>
      </c>
      <c r="AF12" t="e">
        <f>AND(#REF!,"AAAAAHdvxx8=")</f>
        <v>#REF!</v>
      </c>
      <c r="AG12" t="e">
        <f>AND(#REF!,"AAAAAHdvxyA=")</f>
        <v>#REF!</v>
      </c>
      <c r="AH12" t="e">
        <f>AND(#REF!,"AAAAAHdvxyE=")</f>
        <v>#REF!</v>
      </c>
      <c r="AI12" t="e">
        <f>AND(#REF!,"AAAAAHdvxyI=")</f>
        <v>#REF!</v>
      </c>
      <c r="AJ12" t="e">
        <f>AND(#REF!,"AAAAAHdvxyM=")</f>
        <v>#REF!</v>
      </c>
      <c r="AK12" t="e">
        <f>AND(#REF!,"AAAAAHdvxyQ=")</f>
        <v>#REF!</v>
      </c>
      <c r="AL12" t="e">
        <f>AND(#REF!,"AAAAAHdvxyU=")</f>
        <v>#REF!</v>
      </c>
      <c r="AM12" t="e">
        <f>AND(#REF!,"AAAAAHdvxyY=")</f>
        <v>#REF!</v>
      </c>
      <c r="AN12" t="e">
        <f>AND(#REF!,"AAAAAHdvxyc=")</f>
        <v>#REF!</v>
      </c>
      <c r="AO12" t="e">
        <f>AND(#REF!,"AAAAAHdvxyg=")</f>
        <v>#REF!</v>
      </c>
      <c r="AP12" t="e">
        <f>AND(#REF!,"AAAAAHdvxyk=")</f>
        <v>#REF!</v>
      </c>
      <c r="AQ12" t="e">
        <f>AND(#REF!,"AAAAAHdvxyo=")</f>
        <v>#REF!</v>
      </c>
      <c r="AR12" t="e">
        <f>AND(#REF!,"AAAAAHdvxys=")</f>
        <v>#REF!</v>
      </c>
      <c r="AS12" t="e">
        <f>IF(#REF!,"AAAAAHdvxyw=",0)</f>
        <v>#REF!</v>
      </c>
      <c r="AT12" t="e">
        <f>AND(#REF!,"AAAAAHdvxy0=")</f>
        <v>#REF!</v>
      </c>
      <c r="AU12" t="e">
        <f>AND(#REF!,"AAAAAHdvxy4=")</f>
        <v>#REF!</v>
      </c>
      <c r="AV12" t="e">
        <f>AND(#REF!,"AAAAAHdvxy8=")</f>
        <v>#REF!</v>
      </c>
      <c r="AW12" t="e">
        <f>AND(#REF!,"AAAAAHdvxzA=")</f>
        <v>#REF!</v>
      </c>
      <c r="AX12" t="e">
        <f>AND(#REF!,"AAAAAHdvxzE=")</f>
        <v>#REF!</v>
      </c>
      <c r="AY12" t="e">
        <f>AND(#REF!,"AAAAAHdvxzI=")</f>
        <v>#REF!</v>
      </c>
      <c r="AZ12" t="e">
        <f>AND(#REF!,"AAAAAHdvxzM=")</f>
        <v>#REF!</v>
      </c>
      <c r="BA12" t="e">
        <f>AND(#REF!,"AAAAAHdvxzQ=")</f>
        <v>#REF!</v>
      </c>
      <c r="BB12" t="e">
        <f>AND(#REF!,"AAAAAHdvxzU=")</f>
        <v>#REF!</v>
      </c>
      <c r="BC12" t="e">
        <f>AND(#REF!,"AAAAAHdvxzY=")</f>
        <v>#REF!</v>
      </c>
      <c r="BD12" t="e">
        <f>AND(#REF!,"AAAAAHdvxzc=")</f>
        <v>#REF!</v>
      </c>
      <c r="BE12" t="e">
        <f>AND(#REF!,"AAAAAHdvxzg=")</f>
        <v>#REF!</v>
      </c>
      <c r="BF12" t="e">
        <f>AND(#REF!,"AAAAAHdvxzk=")</f>
        <v>#REF!</v>
      </c>
      <c r="BG12" t="e">
        <f>AND(#REF!,"AAAAAHdvxzo=")</f>
        <v>#REF!</v>
      </c>
      <c r="BH12" t="e">
        <f>AND(#REF!,"AAAAAHdvxzs=")</f>
        <v>#REF!</v>
      </c>
      <c r="BI12" t="e">
        <f>AND(#REF!,"AAAAAHdvxzw=")</f>
        <v>#REF!</v>
      </c>
      <c r="BJ12" t="e">
        <f>AND(#REF!,"AAAAAHdvxz0=")</f>
        <v>#REF!</v>
      </c>
      <c r="BK12" t="e">
        <f>AND(#REF!,"AAAAAHdvxz4=")</f>
        <v>#REF!</v>
      </c>
      <c r="BL12" t="e">
        <f>AND(#REF!,"AAAAAHdvxz8=")</f>
        <v>#REF!</v>
      </c>
      <c r="BM12" t="e">
        <f>AND(#REF!,"AAAAAHdvx0A=")</f>
        <v>#REF!</v>
      </c>
      <c r="BN12" t="e">
        <f>AND(#REF!,"AAAAAHdvx0E=")</f>
        <v>#REF!</v>
      </c>
      <c r="BO12" t="e">
        <f>AND(#REF!,"AAAAAHdvx0I=")</f>
        <v>#REF!</v>
      </c>
      <c r="BP12" t="e">
        <f>AND(#REF!,"AAAAAHdvx0M=")</f>
        <v>#REF!</v>
      </c>
      <c r="BQ12" t="e">
        <f>AND(#REF!,"AAAAAHdvx0Q=")</f>
        <v>#REF!</v>
      </c>
      <c r="BR12" t="e">
        <f>AND(#REF!,"AAAAAHdvx0U=")</f>
        <v>#REF!</v>
      </c>
      <c r="BS12" t="e">
        <f>AND(#REF!,"AAAAAHdvx0Y=")</f>
        <v>#REF!</v>
      </c>
      <c r="BT12" t="e">
        <f>IF(#REF!,"AAAAAHdvx0c=",0)</f>
        <v>#REF!</v>
      </c>
      <c r="BU12" t="e">
        <f>AND(#REF!,"AAAAAHdvx0g=")</f>
        <v>#REF!</v>
      </c>
      <c r="BV12" t="e">
        <f>AND(#REF!,"AAAAAHdvx0k=")</f>
        <v>#REF!</v>
      </c>
      <c r="BW12" t="e">
        <f>AND(#REF!,"AAAAAHdvx0o=")</f>
        <v>#REF!</v>
      </c>
      <c r="BX12" t="e">
        <f>AND(#REF!,"AAAAAHdvx0s=")</f>
        <v>#REF!</v>
      </c>
      <c r="BY12" t="e">
        <f>AND(#REF!,"AAAAAHdvx0w=")</f>
        <v>#REF!</v>
      </c>
      <c r="BZ12" t="e">
        <f>AND(#REF!,"AAAAAHdvx00=")</f>
        <v>#REF!</v>
      </c>
      <c r="CA12" t="e">
        <f>AND(#REF!,"AAAAAHdvx04=")</f>
        <v>#REF!</v>
      </c>
      <c r="CB12" t="e">
        <f>AND(#REF!,"AAAAAHdvx08=")</f>
        <v>#REF!</v>
      </c>
      <c r="CC12" t="e">
        <f>AND(#REF!,"AAAAAHdvx1A=")</f>
        <v>#REF!</v>
      </c>
      <c r="CD12" t="e">
        <f>AND(#REF!,"AAAAAHdvx1E=")</f>
        <v>#REF!</v>
      </c>
      <c r="CE12" t="e">
        <f>AND(#REF!,"AAAAAHdvx1I=")</f>
        <v>#REF!</v>
      </c>
      <c r="CF12" t="e">
        <f>AND(#REF!,"AAAAAHdvx1M=")</f>
        <v>#REF!</v>
      </c>
      <c r="CG12" t="e">
        <f>AND(#REF!,"AAAAAHdvx1Q=")</f>
        <v>#REF!</v>
      </c>
      <c r="CH12" t="e">
        <f>AND(#REF!,"AAAAAHdvx1U=")</f>
        <v>#REF!</v>
      </c>
      <c r="CI12" t="e">
        <f>AND(#REF!,"AAAAAHdvx1Y=")</f>
        <v>#REF!</v>
      </c>
      <c r="CJ12" t="e">
        <f>AND(#REF!,"AAAAAHdvx1c=")</f>
        <v>#REF!</v>
      </c>
      <c r="CK12" t="e">
        <f>AND(#REF!,"AAAAAHdvx1g=")</f>
        <v>#REF!</v>
      </c>
      <c r="CL12" t="e">
        <f>AND(#REF!,"AAAAAHdvx1k=")</f>
        <v>#REF!</v>
      </c>
      <c r="CM12" t="e">
        <f>AND(#REF!,"AAAAAHdvx1o=")</f>
        <v>#REF!</v>
      </c>
      <c r="CN12" t="e">
        <f>AND(#REF!,"AAAAAHdvx1s=")</f>
        <v>#REF!</v>
      </c>
      <c r="CO12" t="e">
        <f>AND(#REF!,"AAAAAHdvx1w=")</f>
        <v>#REF!</v>
      </c>
      <c r="CP12" t="e">
        <f>AND(#REF!,"AAAAAHdvx10=")</f>
        <v>#REF!</v>
      </c>
      <c r="CQ12" t="e">
        <f>AND(#REF!,"AAAAAHdvx14=")</f>
        <v>#REF!</v>
      </c>
      <c r="CR12" t="e">
        <f>AND(#REF!,"AAAAAHdvx18=")</f>
        <v>#REF!</v>
      </c>
      <c r="CS12" t="e">
        <f>AND(#REF!,"AAAAAHdvx2A=")</f>
        <v>#REF!</v>
      </c>
      <c r="CT12" t="e">
        <f>AND(#REF!,"AAAAAHdvx2E=")</f>
        <v>#REF!</v>
      </c>
      <c r="CU12" t="e">
        <f>IF(#REF!,"AAAAAHdvx2I=",0)</f>
        <v>#REF!</v>
      </c>
      <c r="CV12" t="e">
        <f>AND(#REF!,"AAAAAHdvx2M=")</f>
        <v>#REF!</v>
      </c>
      <c r="CW12" t="e">
        <f>AND(#REF!,"AAAAAHdvx2Q=")</f>
        <v>#REF!</v>
      </c>
      <c r="CX12" t="e">
        <f>AND(#REF!,"AAAAAHdvx2U=")</f>
        <v>#REF!</v>
      </c>
      <c r="CY12" t="e">
        <f>AND(#REF!,"AAAAAHdvx2Y=")</f>
        <v>#REF!</v>
      </c>
      <c r="CZ12" t="e">
        <f>AND(#REF!,"AAAAAHdvx2c=")</f>
        <v>#REF!</v>
      </c>
      <c r="DA12" t="e">
        <f>AND(#REF!,"AAAAAHdvx2g=")</f>
        <v>#REF!</v>
      </c>
      <c r="DB12" t="e">
        <f>AND(#REF!,"AAAAAHdvx2k=")</f>
        <v>#REF!</v>
      </c>
      <c r="DC12" t="e">
        <f>AND(#REF!,"AAAAAHdvx2o=")</f>
        <v>#REF!</v>
      </c>
      <c r="DD12" t="e">
        <f>AND(#REF!,"AAAAAHdvx2s=")</f>
        <v>#REF!</v>
      </c>
      <c r="DE12" t="e">
        <f>AND(#REF!,"AAAAAHdvx2w=")</f>
        <v>#REF!</v>
      </c>
      <c r="DF12" t="e">
        <f>AND(#REF!,"AAAAAHdvx20=")</f>
        <v>#REF!</v>
      </c>
      <c r="DG12" t="e">
        <f>AND(#REF!,"AAAAAHdvx24=")</f>
        <v>#REF!</v>
      </c>
      <c r="DH12" t="e">
        <f>AND(#REF!,"AAAAAHdvx28=")</f>
        <v>#REF!</v>
      </c>
      <c r="DI12" t="e">
        <f>AND(#REF!,"AAAAAHdvx3A=")</f>
        <v>#REF!</v>
      </c>
      <c r="DJ12" t="e">
        <f>AND(#REF!,"AAAAAHdvx3E=")</f>
        <v>#REF!</v>
      </c>
      <c r="DK12" t="e">
        <f>AND(#REF!,"AAAAAHdvx3I=")</f>
        <v>#REF!</v>
      </c>
      <c r="DL12" t="e">
        <f>AND(#REF!,"AAAAAHdvx3M=")</f>
        <v>#REF!</v>
      </c>
      <c r="DM12" t="e">
        <f>AND(#REF!,"AAAAAHdvx3Q=")</f>
        <v>#REF!</v>
      </c>
      <c r="DN12" t="e">
        <f>AND(#REF!,"AAAAAHdvx3U=")</f>
        <v>#REF!</v>
      </c>
      <c r="DO12" t="e">
        <f>AND(#REF!,"AAAAAHdvx3Y=")</f>
        <v>#REF!</v>
      </c>
      <c r="DP12" t="e">
        <f>AND(#REF!,"AAAAAHdvx3c=")</f>
        <v>#REF!</v>
      </c>
      <c r="DQ12" t="e">
        <f>AND(#REF!,"AAAAAHdvx3g=")</f>
        <v>#REF!</v>
      </c>
      <c r="DR12" t="e">
        <f>AND(#REF!,"AAAAAHdvx3k=")</f>
        <v>#REF!</v>
      </c>
      <c r="DS12" t="e">
        <f>AND(#REF!,"AAAAAHdvx3o=")</f>
        <v>#REF!</v>
      </c>
      <c r="DT12" t="e">
        <f>AND(#REF!,"AAAAAHdvx3s=")</f>
        <v>#REF!</v>
      </c>
      <c r="DU12" t="e">
        <f>AND(#REF!,"AAAAAHdvx3w=")</f>
        <v>#REF!</v>
      </c>
      <c r="DV12" t="e">
        <f>IF(#REF!,"AAAAAHdvx30=",0)</f>
        <v>#REF!</v>
      </c>
      <c r="DW12" t="e">
        <f>AND(#REF!,"AAAAAHdvx34=")</f>
        <v>#REF!</v>
      </c>
      <c r="DX12" t="e">
        <f>AND(#REF!,"AAAAAHdvx38=")</f>
        <v>#REF!</v>
      </c>
      <c r="DY12" t="e">
        <f>AND(#REF!,"AAAAAHdvx4A=")</f>
        <v>#REF!</v>
      </c>
      <c r="DZ12" t="e">
        <f>AND(#REF!,"AAAAAHdvx4E=")</f>
        <v>#REF!</v>
      </c>
      <c r="EA12" t="e">
        <f>AND(#REF!,"AAAAAHdvx4I=")</f>
        <v>#REF!</v>
      </c>
      <c r="EB12" t="e">
        <f>AND(#REF!,"AAAAAHdvx4M=")</f>
        <v>#REF!</v>
      </c>
      <c r="EC12" t="e">
        <f>AND(#REF!,"AAAAAHdvx4Q=")</f>
        <v>#REF!</v>
      </c>
      <c r="ED12" t="e">
        <f>AND(#REF!,"AAAAAHdvx4U=")</f>
        <v>#REF!</v>
      </c>
      <c r="EE12" t="e">
        <f>AND(#REF!,"AAAAAHdvx4Y=")</f>
        <v>#REF!</v>
      </c>
      <c r="EF12" t="e">
        <f>AND(#REF!,"AAAAAHdvx4c=")</f>
        <v>#REF!</v>
      </c>
      <c r="EG12" t="e">
        <f>AND(#REF!,"AAAAAHdvx4g=")</f>
        <v>#REF!</v>
      </c>
      <c r="EH12" t="e">
        <f>AND(#REF!,"AAAAAHdvx4k=")</f>
        <v>#REF!</v>
      </c>
      <c r="EI12" t="e">
        <f>AND(#REF!,"AAAAAHdvx4o=")</f>
        <v>#REF!</v>
      </c>
      <c r="EJ12" t="e">
        <f>AND(#REF!,"AAAAAHdvx4s=")</f>
        <v>#REF!</v>
      </c>
      <c r="EK12" t="e">
        <f>AND(#REF!,"AAAAAHdvx4w=")</f>
        <v>#REF!</v>
      </c>
      <c r="EL12" t="e">
        <f>AND(#REF!,"AAAAAHdvx40=")</f>
        <v>#REF!</v>
      </c>
      <c r="EM12" t="e">
        <f>AND(#REF!,"AAAAAHdvx44=")</f>
        <v>#REF!</v>
      </c>
      <c r="EN12" t="e">
        <f>AND(#REF!,"AAAAAHdvx48=")</f>
        <v>#REF!</v>
      </c>
      <c r="EO12" t="e">
        <f>AND(#REF!,"AAAAAHdvx5A=")</f>
        <v>#REF!</v>
      </c>
      <c r="EP12" t="e">
        <f>AND(#REF!,"AAAAAHdvx5E=")</f>
        <v>#REF!</v>
      </c>
      <c r="EQ12" t="e">
        <f>AND(#REF!,"AAAAAHdvx5I=")</f>
        <v>#REF!</v>
      </c>
      <c r="ER12" t="e">
        <f>AND(#REF!,"AAAAAHdvx5M=")</f>
        <v>#REF!</v>
      </c>
      <c r="ES12" t="e">
        <f>AND(#REF!,"AAAAAHdvx5Q=")</f>
        <v>#REF!</v>
      </c>
      <c r="ET12" t="e">
        <f>AND(#REF!,"AAAAAHdvx5U=")</f>
        <v>#REF!</v>
      </c>
      <c r="EU12" t="e">
        <f>AND(#REF!,"AAAAAHdvx5Y=")</f>
        <v>#REF!</v>
      </c>
      <c r="EV12" t="e">
        <f>AND(#REF!,"AAAAAHdvx5c=")</f>
        <v>#REF!</v>
      </c>
      <c r="EW12" t="e">
        <f>IF(#REF!,"AAAAAHdvx5g=",0)</f>
        <v>#REF!</v>
      </c>
      <c r="EX12" t="e">
        <f>AND(#REF!,"AAAAAHdvx5k=")</f>
        <v>#REF!</v>
      </c>
      <c r="EY12" t="e">
        <f>AND(#REF!,"AAAAAHdvx5o=")</f>
        <v>#REF!</v>
      </c>
      <c r="EZ12" t="e">
        <f>AND(#REF!,"AAAAAHdvx5s=")</f>
        <v>#REF!</v>
      </c>
      <c r="FA12" t="e">
        <f>AND(#REF!,"AAAAAHdvx5w=")</f>
        <v>#REF!</v>
      </c>
      <c r="FB12" t="e">
        <f>AND(#REF!,"AAAAAHdvx50=")</f>
        <v>#REF!</v>
      </c>
      <c r="FC12" t="e">
        <f>AND(#REF!,"AAAAAHdvx54=")</f>
        <v>#REF!</v>
      </c>
      <c r="FD12" t="e">
        <f>AND(#REF!,"AAAAAHdvx58=")</f>
        <v>#REF!</v>
      </c>
      <c r="FE12" t="e">
        <f>AND(#REF!,"AAAAAHdvx6A=")</f>
        <v>#REF!</v>
      </c>
      <c r="FF12" t="e">
        <f>AND(#REF!,"AAAAAHdvx6E=")</f>
        <v>#REF!</v>
      </c>
      <c r="FG12" t="e">
        <f>AND(#REF!,"AAAAAHdvx6I=")</f>
        <v>#REF!</v>
      </c>
      <c r="FH12" t="e">
        <f>AND(#REF!,"AAAAAHdvx6M=")</f>
        <v>#REF!</v>
      </c>
      <c r="FI12" t="e">
        <f>AND(#REF!,"AAAAAHdvx6Q=")</f>
        <v>#REF!</v>
      </c>
      <c r="FJ12" t="e">
        <f>AND(#REF!,"AAAAAHdvx6U=")</f>
        <v>#REF!</v>
      </c>
      <c r="FK12" t="e">
        <f>AND(#REF!,"AAAAAHdvx6Y=")</f>
        <v>#REF!</v>
      </c>
      <c r="FL12" t="e">
        <f>AND(#REF!,"AAAAAHdvx6c=")</f>
        <v>#REF!</v>
      </c>
      <c r="FM12" t="e">
        <f>AND(#REF!,"AAAAAHdvx6g=")</f>
        <v>#REF!</v>
      </c>
      <c r="FN12" t="e">
        <f>AND(#REF!,"AAAAAHdvx6k=")</f>
        <v>#REF!</v>
      </c>
      <c r="FO12" t="e">
        <f>AND(#REF!,"AAAAAHdvx6o=")</f>
        <v>#REF!</v>
      </c>
      <c r="FP12" t="e">
        <f>AND(#REF!,"AAAAAHdvx6s=")</f>
        <v>#REF!</v>
      </c>
      <c r="FQ12" t="e">
        <f>AND(#REF!,"AAAAAHdvx6w=")</f>
        <v>#REF!</v>
      </c>
      <c r="FR12" t="e">
        <f>AND(#REF!,"AAAAAHdvx60=")</f>
        <v>#REF!</v>
      </c>
      <c r="FS12" t="e">
        <f>AND(#REF!,"AAAAAHdvx64=")</f>
        <v>#REF!</v>
      </c>
      <c r="FT12" t="e">
        <f>AND(#REF!,"AAAAAHdvx68=")</f>
        <v>#REF!</v>
      </c>
      <c r="FU12" t="e">
        <f>AND(#REF!,"AAAAAHdvx7A=")</f>
        <v>#REF!</v>
      </c>
      <c r="FV12" t="e">
        <f>AND(#REF!,"AAAAAHdvx7E=")</f>
        <v>#REF!</v>
      </c>
      <c r="FW12" t="e">
        <f>AND(#REF!,"AAAAAHdvx7I=")</f>
        <v>#REF!</v>
      </c>
      <c r="FX12" t="e">
        <f>IF(#REF!,"AAAAAHdvx7M=",0)</f>
        <v>#REF!</v>
      </c>
      <c r="FY12" t="e">
        <f>AND(#REF!,"AAAAAHdvx7Q=")</f>
        <v>#REF!</v>
      </c>
      <c r="FZ12" t="e">
        <f>AND(#REF!,"AAAAAHdvx7U=")</f>
        <v>#REF!</v>
      </c>
      <c r="GA12" t="e">
        <f>AND(#REF!,"AAAAAHdvx7Y=")</f>
        <v>#REF!</v>
      </c>
      <c r="GB12" t="e">
        <f>AND(#REF!,"AAAAAHdvx7c=")</f>
        <v>#REF!</v>
      </c>
      <c r="GC12" t="e">
        <f>AND(#REF!,"AAAAAHdvx7g=")</f>
        <v>#REF!</v>
      </c>
      <c r="GD12" t="e">
        <f>AND(#REF!,"AAAAAHdvx7k=")</f>
        <v>#REF!</v>
      </c>
      <c r="GE12" t="e">
        <f>AND(#REF!,"AAAAAHdvx7o=")</f>
        <v>#REF!</v>
      </c>
      <c r="GF12" t="e">
        <f>AND(#REF!,"AAAAAHdvx7s=")</f>
        <v>#REF!</v>
      </c>
      <c r="GG12" t="e">
        <f>AND(#REF!,"AAAAAHdvx7w=")</f>
        <v>#REF!</v>
      </c>
      <c r="GH12" t="e">
        <f>AND(#REF!,"AAAAAHdvx70=")</f>
        <v>#REF!</v>
      </c>
      <c r="GI12" t="e">
        <f>AND(#REF!,"AAAAAHdvx74=")</f>
        <v>#REF!</v>
      </c>
      <c r="GJ12" t="e">
        <f>AND(#REF!,"AAAAAHdvx78=")</f>
        <v>#REF!</v>
      </c>
      <c r="GK12" t="e">
        <f>AND(#REF!,"AAAAAHdvx8A=")</f>
        <v>#REF!</v>
      </c>
      <c r="GL12" t="e">
        <f>AND(#REF!,"AAAAAHdvx8E=")</f>
        <v>#REF!</v>
      </c>
      <c r="GM12" t="e">
        <f>AND(#REF!,"AAAAAHdvx8I=")</f>
        <v>#REF!</v>
      </c>
      <c r="GN12" t="e">
        <f>AND(#REF!,"AAAAAHdvx8M=")</f>
        <v>#REF!</v>
      </c>
      <c r="GO12" t="e">
        <f>AND(#REF!,"AAAAAHdvx8Q=")</f>
        <v>#REF!</v>
      </c>
      <c r="GP12" t="e">
        <f>AND(#REF!,"AAAAAHdvx8U=")</f>
        <v>#REF!</v>
      </c>
      <c r="GQ12" t="e">
        <f>AND(#REF!,"AAAAAHdvx8Y=")</f>
        <v>#REF!</v>
      </c>
      <c r="GR12" t="e">
        <f>AND(#REF!,"AAAAAHdvx8c=")</f>
        <v>#REF!</v>
      </c>
      <c r="GS12" t="e">
        <f>AND(#REF!,"AAAAAHdvx8g=")</f>
        <v>#REF!</v>
      </c>
      <c r="GT12" t="e">
        <f>AND(#REF!,"AAAAAHdvx8k=")</f>
        <v>#REF!</v>
      </c>
      <c r="GU12" t="e">
        <f>AND(#REF!,"AAAAAHdvx8o=")</f>
        <v>#REF!</v>
      </c>
      <c r="GV12" t="e">
        <f>AND(#REF!,"AAAAAHdvx8s=")</f>
        <v>#REF!</v>
      </c>
      <c r="GW12" t="e">
        <f>AND(#REF!,"AAAAAHdvx8w=")</f>
        <v>#REF!</v>
      </c>
      <c r="GX12" t="e">
        <f>AND(#REF!,"AAAAAHdvx80=")</f>
        <v>#REF!</v>
      </c>
      <c r="GY12" t="e">
        <f>IF(#REF!,"AAAAAHdvx84=",0)</f>
        <v>#REF!</v>
      </c>
      <c r="GZ12" t="e">
        <f>AND(#REF!,"AAAAAHdvx88=")</f>
        <v>#REF!</v>
      </c>
      <c r="HA12" t="e">
        <f>AND(#REF!,"AAAAAHdvx9A=")</f>
        <v>#REF!</v>
      </c>
      <c r="HB12" t="e">
        <f>AND(#REF!,"AAAAAHdvx9E=")</f>
        <v>#REF!</v>
      </c>
      <c r="HC12" t="e">
        <f>AND(#REF!,"AAAAAHdvx9I=")</f>
        <v>#REF!</v>
      </c>
      <c r="HD12" t="e">
        <f>AND(#REF!,"AAAAAHdvx9M=")</f>
        <v>#REF!</v>
      </c>
      <c r="HE12" t="e">
        <f>AND(#REF!,"AAAAAHdvx9Q=")</f>
        <v>#REF!</v>
      </c>
      <c r="HF12" t="e">
        <f>AND(#REF!,"AAAAAHdvx9U=")</f>
        <v>#REF!</v>
      </c>
      <c r="HG12" t="e">
        <f>AND(#REF!,"AAAAAHdvx9Y=")</f>
        <v>#REF!</v>
      </c>
      <c r="HH12" t="e">
        <f>AND(#REF!,"AAAAAHdvx9c=")</f>
        <v>#REF!</v>
      </c>
      <c r="HI12" t="e">
        <f>AND(#REF!,"AAAAAHdvx9g=")</f>
        <v>#REF!</v>
      </c>
      <c r="HJ12" t="e">
        <f>AND(#REF!,"AAAAAHdvx9k=")</f>
        <v>#REF!</v>
      </c>
      <c r="HK12" t="e">
        <f>AND(#REF!,"AAAAAHdvx9o=")</f>
        <v>#REF!</v>
      </c>
      <c r="HL12" t="e">
        <f>AND(#REF!,"AAAAAHdvx9s=")</f>
        <v>#REF!</v>
      </c>
      <c r="HM12" t="e">
        <f>AND(#REF!,"AAAAAHdvx9w=")</f>
        <v>#REF!</v>
      </c>
      <c r="HN12" t="e">
        <f>AND(#REF!,"AAAAAHdvx90=")</f>
        <v>#REF!</v>
      </c>
      <c r="HO12" t="e">
        <f>AND(#REF!,"AAAAAHdvx94=")</f>
        <v>#REF!</v>
      </c>
      <c r="HP12" t="e">
        <f>AND(#REF!,"AAAAAHdvx98=")</f>
        <v>#REF!</v>
      </c>
      <c r="HQ12" t="e">
        <f>AND(#REF!,"AAAAAHdvx+A=")</f>
        <v>#REF!</v>
      </c>
      <c r="HR12" t="e">
        <f>AND(#REF!,"AAAAAHdvx+E=")</f>
        <v>#REF!</v>
      </c>
      <c r="HS12" t="e">
        <f>AND(#REF!,"AAAAAHdvx+I=")</f>
        <v>#REF!</v>
      </c>
      <c r="HT12" t="e">
        <f>AND(#REF!,"AAAAAHdvx+M=")</f>
        <v>#REF!</v>
      </c>
      <c r="HU12" t="e">
        <f>AND(#REF!,"AAAAAHdvx+Q=")</f>
        <v>#REF!</v>
      </c>
      <c r="HV12" t="e">
        <f>AND(#REF!,"AAAAAHdvx+U=")</f>
        <v>#REF!</v>
      </c>
      <c r="HW12" t="e">
        <f>AND(#REF!,"AAAAAHdvx+Y=")</f>
        <v>#REF!</v>
      </c>
      <c r="HX12" t="e">
        <f>AND(#REF!,"AAAAAHdvx+c=")</f>
        <v>#REF!</v>
      </c>
      <c r="HY12" t="e">
        <f>AND(#REF!,"AAAAAHdvx+g=")</f>
        <v>#REF!</v>
      </c>
      <c r="HZ12" t="e">
        <f>IF(#REF!,"AAAAAHdvx+k=",0)</f>
        <v>#REF!</v>
      </c>
      <c r="IA12" t="e">
        <f>AND(#REF!,"AAAAAHdvx+o=")</f>
        <v>#REF!</v>
      </c>
      <c r="IB12" t="e">
        <f>AND(#REF!,"AAAAAHdvx+s=")</f>
        <v>#REF!</v>
      </c>
      <c r="IC12" t="e">
        <f>AND(#REF!,"AAAAAHdvx+w=")</f>
        <v>#REF!</v>
      </c>
      <c r="ID12" t="e">
        <f>AND(#REF!,"AAAAAHdvx+0=")</f>
        <v>#REF!</v>
      </c>
      <c r="IE12" t="e">
        <f>AND(#REF!,"AAAAAHdvx+4=")</f>
        <v>#REF!</v>
      </c>
      <c r="IF12" t="e">
        <f>AND(#REF!,"AAAAAHdvx+8=")</f>
        <v>#REF!</v>
      </c>
      <c r="IG12" t="e">
        <f>AND(#REF!,"AAAAAHdvx/A=")</f>
        <v>#REF!</v>
      </c>
      <c r="IH12" t="e">
        <f>AND(#REF!,"AAAAAHdvx/E=")</f>
        <v>#REF!</v>
      </c>
      <c r="II12" t="e">
        <f>AND(#REF!,"AAAAAHdvx/I=")</f>
        <v>#REF!</v>
      </c>
      <c r="IJ12" t="e">
        <f>AND(#REF!,"AAAAAHdvx/M=")</f>
        <v>#REF!</v>
      </c>
      <c r="IK12" t="e">
        <f>AND(#REF!,"AAAAAHdvx/Q=")</f>
        <v>#REF!</v>
      </c>
      <c r="IL12" t="e">
        <f>AND(#REF!,"AAAAAHdvx/U=")</f>
        <v>#REF!</v>
      </c>
      <c r="IM12" t="e">
        <f>AND(#REF!,"AAAAAHdvx/Y=")</f>
        <v>#REF!</v>
      </c>
      <c r="IN12" t="e">
        <f>AND(#REF!,"AAAAAHdvx/c=")</f>
        <v>#REF!</v>
      </c>
      <c r="IO12" t="e">
        <f>AND(#REF!,"AAAAAHdvx/g=")</f>
        <v>#REF!</v>
      </c>
      <c r="IP12" t="e">
        <f>AND(#REF!,"AAAAAHdvx/k=")</f>
        <v>#REF!</v>
      </c>
      <c r="IQ12" t="e">
        <f>AND(#REF!,"AAAAAHdvx/o=")</f>
        <v>#REF!</v>
      </c>
      <c r="IR12" t="e">
        <f>AND(#REF!,"AAAAAHdvx/s=")</f>
        <v>#REF!</v>
      </c>
      <c r="IS12" t="e">
        <f>AND(#REF!,"AAAAAHdvx/w=")</f>
        <v>#REF!</v>
      </c>
      <c r="IT12" t="e">
        <f>AND(#REF!,"AAAAAHdvx/0=")</f>
        <v>#REF!</v>
      </c>
      <c r="IU12" t="e">
        <f>AND(#REF!,"AAAAAHdvx/4=")</f>
        <v>#REF!</v>
      </c>
      <c r="IV12" t="e">
        <f>AND(#REF!,"AAAAAHdvx/8=")</f>
        <v>#REF!</v>
      </c>
    </row>
    <row r="13" spans="1:256" x14ac:dyDescent="0.2">
      <c r="A13" t="e">
        <f>AND(#REF!,"AAAAADzP/gA=")</f>
        <v>#REF!</v>
      </c>
      <c r="B13" t="e">
        <f>AND(#REF!,"AAAAADzP/gE=")</f>
        <v>#REF!</v>
      </c>
      <c r="C13" t="e">
        <f>AND(#REF!,"AAAAADzP/gI=")</f>
        <v>#REF!</v>
      </c>
      <c r="D13" t="e">
        <f>AND(#REF!,"AAAAADzP/gM=")</f>
        <v>#REF!</v>
      </c>
      <c r="E13" t="e">
        <f>IF(#REF!,"AAAAADzP/gQ=",0)</f>
        <v>#REF!</v>
      </c>
      <c r="F13" t="e">
        <f>AND(#REF!,"AAAAADzP/gU=")</f>
        <v>#REF!</v>
      </c>
      <c r="G13" t="e">
        <f>AND(#REF!,"AAAAADzP/gY=")</f>
        <v>#REF!</v>
      </c>
      <c r="H13" t="e">
        <f>AND(#REF!,"AAAAADzP/gc=")</f>
        <v>#REF!</v>
      </c>
      <c r="I13" t="e">
        <f>AND(#REF!,"AAAAADzP/gg=")</f>
        <v>#REF!</v>
      </c>
      <c r="J13" t="e">
        <f>AND(#REF!,"AAAAADzP/gk=")</f>
        <v>#REF!</v>
      </c>
      <c r="K13" t="e">
        <f>AND(#REF!,"AAAAADzP/go=")</f>
        <v>#REF!</v>
      </c>
      <c r="L13" t="e">
        <f>AND(#REF!,"AAAAADzP/gs=")</f>
        <v>#REF!</v>
      </c>
      <c r="M13" t="e">
        <f>AND(#REF!,"AAAAADzP/gw=")</f>
        <v>#REF!</v>
      </c>
      <c r="N13" t="e">
        <f>AND(#REF!,"AAAAADzP/g0=")</f>
        <v>#REF!</v>
      </c>
      <c r="O13" t="e">
        <f>AND(#REF!,"AAAAADzP/g4=")</f>
        <v>#REF!</v>
      </c>
      <c r="P13" t="e">
        <f>AND(#REF!,"AAAAADzP/g8=")</f>
        <v>#REF!</v>
      </c>
      <c r="Q13" t="e">
        <f>AND(#REF!,"AAAAADzP/hA=")</f>
        <v>#REF!</v>
      </c>
      <c r="R13" t="e">
        <f>AND(#REF!,"AAAAADzP/hE=")</f>
        <v>#REF!</v>
      </c>
      <c r="S13" t="e">
        <f>AND(#REF!,"AAAAADzP/hI=")</f>
        <v>#REF!</v>
      </c>
      <c r="T13" t="e">
        <f>AND(#REF!,"AAAAADzP/hM=")</f>
        <v>#REF!</v>
      </c>
      <c r="U13" t="e">
        <f>AND(#REF!,"AAAAADzP/hQ=")</f>
        <v>#REF!</v>
      </c>
      <c r="V13" t="e">
        <f>AND(#REF!,"AAAAADzP/hU=")</f>
        <v>#REF!</v>
      </c>
      <c r="W13" t="e">
        <f>AND(#REF!,"AAAAADzP/hY=")</f>
        <v>#REF!</v>
      </c>
      <c r="X13" t="e">
        <f>AND(#REF!,"AAAAADzP/hc=")</f>
        <v>#REF!</v>
      </c>
      <c r="Y13" t="e">
        <f>AND(#REF!,"AAAAADzP/hg=")</f>
        <v>#REF!</v>
      </c>
      <c r="Z13" t="e">
        <f>AND(#REF!,"AAAAADzP/hk=")</f>
        <v>#REF!</v>
      </c>
      <c r="AA13" t="e">
        <f>AND(#REF!,"AAAAADzP/ho=")</f>
        <v>#REF!</v>
      </c>
      <c r="AB13" t="e">
        <f>AND(#REF!,"AAAAADzP/hs=")</f>
        <v>#REF!</v>
      </c>
      <c r="AC13" t="e">
        <f>AND(#REF!,"AAAAADzP/hw=")</f>
        <v>#REF!</v>
      </c>
      <c r="AD13" t="e">
        <f>AND(#REF!,"AAAAADzP/h0=")</f>
        <v>#REF!</v>
      </c>
      <c r="AE13" t="e">
        <f>AND(#REF!,"AAAAADzP/h4=")</f>
        <v>#REF!</v>
      </c>
      <c r="AF13" t="e">
        <f>IF(#REF!,"AAAAADzP/h8=",0)</f>
        <v>#REF!</v>
      </c>
      <c r="AG13" t="e">
        <f>AND(#REF!,"AAAAADzP/iA=")</f>
        <v>#REF!</v>
      </c>
      <c r="AH13" t="e">
        <f>AND(#REF!,"AAAAADzP/iE=")</f>
        <v>#REF!</v>
      </c>
      <c r="AI13" t="e">
        <f>AND(#REF!,"AAAAADzP/iI=")</f>
        <v>#REF!</v>
      </c>
      <c r="AJ13" t="e">
        <f>AND(#REF!,"AAAAADzP/iM=")</f>
        <v>#REF!</v>
      </c>
      <c r="AK13" t="e">
        <f>AND(#REF!,"AAAAADzP/iQ=")</f>
        <v>#REF!</v>
      </c>
      <c r="AL13" t="e">
        <f>AND(#REF!,"AAAAADzP/iU=")</f>
        <v>#REF!</v>
      </c>
      <c r="AM13" t="e">
        <f>AND(#REF!,"AAAAADzP/iY=")</f>
        <v>#REF!</v>
      </c>
      <c r="AN13" t="e">
        <f>AND(#REF!,"AAAAADzP/ic=")</f>
        <v>#REF!</v>
      </c>
      <c r="AO13" t="e">
        <f>AND(#REF!,"AAAAADzP/ig=")</f>
        <v>#REF!</v>
      </c>
      <c r="AP13" t="e">
        <f>AND(#REF!,"AAAAADzP/ik=")</f>
        <v>#REF!</v>
      </c>
      <c r="AQ13" t="e">
        <f>AND(#REF!,"AAAAADzP/io=")</f>
        <v>#REF!</v>
      </c>
      <c r="AR13" t="e">
        <f>AND(#REF!,"AAAAADzP/is=")</f>
        <v>#REF!</v>
      </c>
      <c r="AS13" t="e">
        <f>AND(#REF!,"AAAAADzP/iw=")</f>
        <v>#REF!</v>
      </c>
      <c r="AT13" t="e">
        <f>AND(#REF!,"AAAAADzP/i0=")</f>
        <v>#REF!</v>
      </c>
      <c r="AU13" t="e">
        <f>AND(#REF!,"AAAAADzP/i4=")</f>
        <v>#REF!</v>
      </c>
      <c r="AV13" t="e">
        <f>AND(#REF!,"AAAAADzP/i8=")</f>
        <v>#REF!</v>
      </c>
      <c r="AW13" t="e">
        <f>AND(#REF!,"AAAAADzP/jA=")</f>
        <v>#REF!</v>
      </c>
      <c r="AX13" t="e">
        <f>AND(#REF!,"AAAAADzP/jE=")</f>
        <v>#REF!</v>
      </c>
      <c r="AY13" t="e">
        <f>AND(#REF!,"AAAAADzP/jI=")</f>
        <v>#REF!</v>
      </c>
      <c r="AZ13" t="e">
        <f>AND(#REF!,"AAAAADzP/jM=")</f>
        <v>#REF!</v>
      </c>
      <c r="BA13" t="e">
        <f>AND(#REF!,"AAAAADzP/jQ=")</f>
        <v>#REF!</v>
      </c>
      <c r="BB13" t="e">
        <f>AND(#REF!,"AAAAADzP/jU=")</f>
        <v>#REF!</v>
      </c>
      <c r="BC13" t="e">
        <f>AND(#REF!,"AAAAADzP/jY=")</f>
        <v>#REF!</v>
      </c>
      <c r="BD13" t="e">
        <f>AND(#REF!,"AAAAADzP/jc=")</f>
        <v>#REF!</v>
      </c>
      <c r="BE13" t="e">
        <f>AND(#REF!,"AAAAADzP/jg=")</f>
        <v>#REF!</v>
      </c>
      <c r="BF13" t="e">
        <f>AND(#REF!,"AAAAADzP/jk=")</f>
        <v>#REF!</v>
      </c>
      <c r="BG13" t="e">
        <f>IF(#REF!,"AAAAADzP/jo=",0)</f>
        <v>#REF!</v>
      </c>
      <c r="BH13" t="e">
        <f>AND(#REF!,"AAAAADzP/js=")</f>
        <v>#REF!</v>
      </c>
      <c r="BI13" t="e">
        <f>AND(#REF!,"AAAAADzP/jw=")</f>
        <v>#REF!</v>
      </c>
      <c r="BJ13" t="e">
        <f>AND(#REF!,"AAAAADzP/j0=")</f>
        <v>#REF!</v>
      </c>
      <c r="BK13" t="e">
        <f>AND(#REF!,"AAAAADzP/j4=")</f>
        <v>#REF!</v>
      </c>
      <c r="BL13" t="e">
        <f>AND(#REF!,"AAAAADzP/j8=")</f>
        <v>#REF!</v>
      </c>
      <c r="BM13" t="e">
        <f>AND(#REF!,"AAAAADzP/kA=")</f>
        <v>#REF!</v>
      </c>
      <c r="BN13" t="e">
        <f>AND(#REF!,"AAAAADzP/kE=")</f>
        <v>#REF!</v>
      </c>
      <c r="BO13" t="e">
        <f>AND(#REF!,"AAAAADzP/kI=")</f>
        <v>#REF!</v>
      </c>
      <c r="BP13" t="e">
        <f>AND(#REF!,"AAAAADzP/kM=")</f>
        <v>#REF!</v>
      </c>
      <c r="BQ13" t="e">
        <f>AND(#REF!,"AAAAADzP/kQ=")</f>
        <v>#REF!</v>
      </c>
      <c r="BR13" t="e">
        <f>AND(#REF!,"AAAAADzP/kU=")</f>
        <v>#REF!</v>
      </c>
      <c r="BS13" t="e">
        <f>AND(#REF!,"AAAAADzP/kY=")</f>
        <v>#REF!</v>
      </c>
      <c r="BT13" t="e">
        <f>AND(#REF!,"AAAAADzP/kc=")</f>
        <v>#REF!</v>
      </c>
      <c r="BU13" t="e">
        <f>AND(#REF!,"AAAAADzP/kg=")</f>
        <v>#REF!</v>
      </c>
      <c r="BV13" t="e">
        <f>AND(#REF!,"AAAAADzP/kk=")</f>
        <v>#REF!</v>
      </c>
      <c r="BW13" t="e">
        <f>AND(#REF!,"AAAAADzP/ko=")</f>
        <v>#REF!</v>
      </c>
      <c r="BX13" t="e">
        <f>AND(#REF!,"AAAAADzP/ks=")</f>
        <v>#REF!</v>
      </c>
      <c r="BY13" t="e">
        <f>AND(#REF!,"AAAAADzP/kw=")</f>
        <v>#REF!</v>
      </c>
      <c r="BZ13" t="e">
        <f>AND(#REF!,"AAAAADzP/k0=")</f>
        <v>#REF!</v>
      </c>
      <c r="CA13" t="e">
        <f>AND(#REF!,"AAAAADzP/k4=")</f>
        <v>#REF!</v>
      </c>
      <c r="CB13" t="e">
        <f>AND(#REF!,"AAAAADzP/k8=")</f>
        <v>#REF!</v>
      </c>
      <c r="CC13" t="e">
        <f>AND(#REF!,"AAAAADzP/lA=")</f>
        <v>#REF!</v>
      </c>
      <c r="CD13" t="e">
        <f>AND(#REF!,"AAAAADzP/lE=")</f>
        <v>#REF!</v>
      </c>
      <c r="CE13" t="e">
        <f>AND(#REF!,"AAAAADzP/lI=")</f>
        <v>#REF!</v>
      </c>
      <c r="CF13" t="e">
        <f>AND(#REF!,"AAAAADzP/lM=")</f>
        <v>#REF!</v>
      </c>
      <c r="CG13" t="e">
        <f>AND(#REF!,"AAAAADzP/lQ=")</f>
        <v>#REF!</v>
      </c>
      <c r="CH13" t="e">
        <f>IF(#REF!,"AAAAADzP/lU=",0)</f>
        <v>#REF!</v>
      </c>
      <c r="CI13" t="e">
        <f>AND(#REF!,"AAAAADzP/lY=")</f>
        <v>#REF!</v>
      </c>
      <c r="CJ13" t="e">
        <f>AND(#REF!,"AAAAADzP/lc=")</f>
        <v>#REF!</v>
      </c>
      <c r="CK13" t="e">
        <f>AND(#REF!,"AAAAADzP/lg=")</f>
        <v>#REF!</v>
      </c>
      <c r="CL13" t="e">
        <f>AND(#REF!,"AAAAADzP/lk=")</f>
        <v>#REF!</v>
      </c>
      <c r="CM13" t="e">
        <f>AND(#REF!,"AAAAADzP/lo=")</f>
        <v>#REF!</v>
      </c>
      <c r="CN13" t="e">
        <f>AND(#REF!,"AAAAADzP/ls=")</f>
        <v>#REF!</v>
      </c>
      <c r="CO13" t="e">
        <f>AND(#REF!,"AAAAADzP/lw=")</f>
        <v>#REF!</v>
      </c>
      <c r="CP13" t="e">
        <f>AND(#REF!,"AAAAADzP/l0=")</f>
        <v>#REF!</v>
      </c>
      <c r="CQ13" t="e">
        <f>AND(#REF!,"AAAAADzP/l4=")</f>
        <v>#REF!</v>
      </c>
      <c r="CR13" t="e">
        <f>AND(#REF!,"AAAAADzP/l8=")</f>
        <v>#REF!</v>
      </c>
      <c r="CS13" t="e">
        <f>AND(#REF!,"AAAAADzP/mA=")</f>
        <v>#REF!</v>
      </c>
      <c r="CT13" t="e">
        <f>AND(#REF!,"AAAAADzP/mE=")</f>
        <v>#REF!</v>
      </c>
      <c r="CU13" t="e">
        <f>AND(#REF!,"AAAAADzP/mI=")</f>
        <v>#REF!</v>
      </c>
      <c r="CV13" t="e">
        <f>AND(#REF!,"AAAAADzP/mM=")</f>
        <v>#REF!</v>
      </c>
      <c r="CW13" t="e">
        <f>AND(#REF!,"AAAAADzP/mQ=")</f>
        <v>#REF!</v>
      </c>
      <c r="CX13" t="e">
        <f>AND(#REF!,"AAAAADzP/mU=")</f>
        <v>#REF!</v>
      </c>
      <c r="CY13" t="e">
        <f>AND(#REF!,"AAAAADzP/mY=")</f>
        <v>#REF!</v>
      </c>
      <c r="CZ13" t="e">
        <f>AND(#REF!,"AAAAADzP/mc=")</f>
        <v>#REF!</v>
      </c>
      <c r="DA13" t="e">
        <f>AND(#REF!,"AAAAADzP/mg=")</f>
        <v>#REF!</v>
      </c>
      <c r="DB13" t="e">
        <f>AND(#REF!,"AAAAADzP/mk=")</f>
        <v>#REF!</v>
      </c>
      <c r="DC13" t="e">
        <f>AND(#REF!,"AAAAADzP/mo=")</f>
        <v>#REF!</v>
      </c>
      <c r="DD13" t="e">
        <f>AND(#REF!,"AAAAADzP/ms=")</f>
        <v>#REF!</v>
      </c>
      <c r="DE13" t="e">
        <f>AND(#REF!,"AAAAADzP/mw=")</f>
        <v>#REF!</v>
      </c>
      <c r="DF13" t="e">
        <f>AND(#REF!,"AAAAADzP/m0=")</f>
        <v>#REF!</v>
      </c>
      <c r="DG13" t="e">
        <f>AND(#REF!,"AAAAADzP/m4=")</f>
        <v>#REF!</v>
      </c>
      <c r="DH13" t="e">
        <f>AND(#REF!,"AAAAADzP/m8=")</f>
        <v>#REF!</v>
      </c>
      <c r="DI13" t="e">
        <f>IF(#REF!,"AAAAADzP/nA=",0)</f>
        <v>#REF!</v>
      </c>
      <c r="DJ13" t="e">
        <f>AND(#REF!,"AAAAADzP/nE=")</f>
        <v>#REF!</v>
      </c>
      <c r="DK13" t="e">
        <f>AND(#REF!,"AAAAADzP/nI=")</f>
        <v>#REF!</v>
      </c>
      <c r="DL13" t="e">
        <f>AND(#REF!,"AAAAADzP/nM=")</f>
        <v>#REF!</v>
      </c>
      <c r="DM13" t="e">
        <f>AND(#REF!,"AAAAADzP/nQ=")</f>
        <v>#REF!</v>
      </c>
      <c r="DN13" t="e">
        <f>AND(#REF!,"AAAAADzP/nU=")</f>
        <v>#REF!</v>
      </c>
      <c r="DO13" t="e">
        <f>AND(#REF!,"AAAAADzP/nY=")</f>
        <v>#REF!</v>
      </c>
      <c r="DP13" t="e">
        <f>AND(#REF!,"AAAAADzP/nc=")</f>
        <v>#REF!</v>
      </c>
      <c r="DQ13" t="e">
        <f>AND(#REF!,"AAAAADzP/ng=")</f>
        <v>#REF!</v>
      </c>
      <c r="DR13" t="e">
        <f>AND(#REF!,"AAAAADzP/nk=")</f>
        <v>#REF!</v>
      </c>
      <c r="DS13" t="e">
        <f>AND(#REF!,"AAAAADzP/no=")</f>
        <v>#REF!</v>
      </c>
      <c r="DT13" t="e">
        <f>AND(#REF!,"AAAAADzP/ns=")</f>
        <v>#REF!</v>
      </c>
      <c r="DU13" t="e">
        <f>AND(#REF!,"AAAAADzP/nw=")</f>
        <v>#REF!</v>
      </c>
      <c r="DV13" t="e">
        <f>AND(#REF!,"AAAAADzP/n0=")</f>
        <v>#REF!</v>
      </c>
      <c r="DW13" t="e">
        <f>AND(#REF!,"AAAAADzP/n4=")</f>
        <v>#REF!</v>
      </c>
      <c r="DX13" t="e">
        <f>AND(#REF!,"AAAAADzP/n8=")</f>
        <v>#REF!</v>
      </c>
      <c r="DY13" t="e">
        <f>AND(#REF!,"AAAAADzP/oA=")</f>
        <v>#REF!</v>
      </c>
      <c r="DZ13" t="e">
        <f>AND(#REF!,"AAAAADzP/oE=")</f>
        <v>#REF!</v>
      </c>
      <c r="EA13" t="e">
        <f>AND(#REF!,"AAAAADzP/oI=")</f>
        <v>#REF!</v>
      </c>
      <c r="EB13" t="e">
        <f>AND(#REF!,"AAAAADzP/oM=")</f>
        <v>#REF!</v>
      </c>
      <c r="EC13" t="e">
        <f>AND(#REF!,"AAAAADzP/oQ=")</f>
        <v>#REF!</v>
      </c>
      <c r="ED13" t="e">
        <f>AND(#REF!,"AAAAADzP/oU=")</f>
        <v>#REF!</v>
      </c>
      <c r="EE13" t="e">
        <f>AND(#REF!,"AAAAADzP/oY=")</f>
        <v>#REF!</v>
      </c>
      <c r="EF13" t="e">
        <f>AND(#REF!,"AAAAADzP/oc=")</f>
        <v>#REF!</v>
      </c>
      <c r="EG13" t="e">
        <f>AND(#REF!,"AAAAADzP/og=")</f>
        <v>#REF!</v>
      </c>
      <c r="EH13" t="e">
        <f>AND(#REF!,"AAAAADzP/ok=")</f>
        <v>#REF!</v>
      </c>
      <c r="EI13" t="e">
        <f>AND(#REF!,"AAAAADzP/oo=")</f>
        <v>#REF!</v>
      </c>
      <c r="EJ13" t="e">
        <f>IF(#REF!,"AAAAADzP/os=",0)</f>
        <v>#REF!</v>
      </c>
      <c r="EK13" t="e">
        <f>AND(#REF!,"AAAAADzP/ow=")</f>
        <v>#REF!</v>
      </c>
      <c r="EL13" t="e">
        <f>AND(#REF!,"AAAAADzP/o0=")</f>
        <v>#REF!</v>
      </c>
      <c r="EM13" t="e">
        <f>AND(#REF!,"AAAAADzP/o4=")</f>
        <v>#REF!</v>
      </c>
      <c r="EN13" t="e">
        <f>AND(#REF!,"AAAAADzP/o8=")</f>
        <v>#REF!</v>
      </c>
      <c r="EO13" t="e">
        <f>AND(#REF!,"AAAAADzP/pA=")</f>
        <v>#REF!</v>
      </c>
      <c r="EP13" t="e">
        <f>AND(#REF!,"AAAAADzP/pE=")</f>
        <v>#REF!</v>
      </c>
      <c r="EQ13" t="e">
        <f>AND(#REF!,"AAAAADzP/pI=")</f>
        <v>#REF!</v>
      </c>
      <c r="ER13" t="e">
        <f>AND(#REF!,"AAAAADzP/pM=")</f>
        <v>#REF!</v>
      </c>
      <c r="ES13" t="e">
        <f>AND(#REF!,"AAAAADzP/pQ=")</f>
        <v>#REF!</v>
      </c>
      <c r="ET13" t="e">
        <f>AND(#REF!,"AAAAADzP/pU=")</f>
        <v>#REF!</v>
      </c>
      <c r="EU13" t="e">
        <f>AND(#REF!,"AAAAADzP/pY=")</f>
        <v>#REF!</v>
      </c>
      <c r="EV13" t="e">
        <f>AND(#REF!,"AAAAADzP/pc=")</f>
        <v>#REF!</v>
      </c>
      <c r="EW13" t="e">
        <f>AND(#REF!,"AAAAADzP/pg=")</f>
        <v>#REF!</v>
      </c>
      <c r="EX13" t="e">
        <f>AND(#REF!,"AAAAADzP/pk=")</f>
        <v>#REF!</v>
      </c>
      <c r="EY13" t="e">
        <f>AND(#REF!,"AAAAADzP/po=")</f>
        <v>#REF!</v>
      </c>
      <c r="EZ13" t="e">
        <f>AND(#REF!,"AAAAADzP/ps=")</f>
        <v>#REF!</v>
      </c>
      <c r="FA13" t="e">
        <f>AND(#REF!,"AAAAADzP/pw=")</f>
        <v>#REF!</v>
      </c>
      <c r="FB13" t="e">
        <f>AND(#REF!,"AAAAADzP/p0=")</f>
        <v>#REF!</v>
      </c>
      <c r="FC13" t="e">
        <f>AND(#REF!,"AAAAADzP/p4=")</f>
        <v>#REF!</v>
      </c>
      <c r="FD13" t="e">
        <f>AND(#REF!,"AAAAADzP/p8=")</f>
        <v>#REF!</v>
      </c>
      <c r="FE13" t="e">
        <f>AND(#REF!,"AAAAADzP/qA=")</f>
        <v>#REF!</v>
      </c>
      <c r="FF13" t="e">
        <f>AND(#REF!,"AAAAADzP/qE=")</f>
        <v>#REF!</v>
      </c>
      <c r="FG13" t="e">
        <f>AND(#REF!,"AAAAADzP/qI=")</f>
        <v>#REF!</v>
      </c>
      <c r="FH13" t="e">
        <f>AND(#REF!,"AAAAADzP/qM=")</f>
        <v>#REF!</v>
      </c>
      <c r="FI13" t="e">
        <f>AND(#REF!,"AAAAADzP/qQ=")</f>
        <v>#REF!</v>
      </c>
      <c r="FJ13" t="e">
        <f>AND(#REF!,"AAAAADzP/qU=")</f>
        <v>#REF!</v>
      </c>
      <c r="FK13" t="e">
        <f>IF(#REF!,"AAAAADzP/qY=",0)</f>
        <v>#REF!</v>
      </c>
      <c r="FL13" t="e">
        <f>AND(#REF!,"AAAAADzP/qc=")</f>
        <v>#REF!</v>
      </c>
      <c r="FM13" t="e">
        <f>AND(#REF!,"AAAAADzP/qg=")</f>
        <v>#REF!</v>
      </c>
      <c r="FN13" t="e">
        <f>AND(#REF!,"AAAAADzP/qk=")</f>
        <v>#REF!</v>
      </c>
      <c r="FO13" t="e">
        <f>AND(#REF!,"AAAAADzP/qo=")</f>
        <v>#REF!</v>
      </c>
      <c r="FP13" t="e">
        <f>AND(#REF!,"AAAAADzP/qs=")</f>
        <v>#REF!</v>
      </c>
      <c r="FQ13" t="e">
        <f>AND(#REF!,"AAAAADzP/qw=")</f>
        <v>#REF!</v>
      </c>
      <c r="FR13" t="e">
        <f>AND(#REF!,"AAAAADzP/q0=")</f>
        <v>#REF!</v>
      </c>
      <c r="FS13" t="e">
        <f>AND(#REF!,"AAAAADzP/q4=")</f>
        <v>#REF!</v>
      </c>
      <c r="FT13" t="e">
        <f>AND(#REF!,"AAAAADzP/q8=")</f>
        <v>#REF!</v>
      </c>
      <c r="FU13" t="e">
        <f>AND(#REF!,"AAAAADzP/rA=")</f>
        <v>#REF!</v>
      </c>
      <c r="FV13" t="e">
        <f>AND(#REF!,"AAAAADzP/rE=")</f>
        <v>#REF!</v>
      </c>
      <c r="FW13" t="e">
        <f>AND(#REF!,"AAAAADzP/rI=")</f>
        <v>#REF!</v>
      </c>
      <c r="FX13" t="e">
        <f>AND(#REF!,"AAAAADzP/rM=")</f>
        <v>#REF!</v>
      </c>
      <c r="FY13" t="e">
        <f>AND(#REF!,"AAAAADzP/rQ=")</f>
        <v>#REF!</v>
      </c>
      <c r="FZ13" t="e">
        <f>AND(#REF!,"AAAAADzP/rU=")</f>
        <v>#REF!</v>
      </c>
      <c r="GA13" t="e">
        <f>AND(#REF!,"AAAAADzP/rY=")</f>
        <v>#REF!</v>
      </c>
      <c r="GB13" t="e">
        <f>AND(#REF!,"AAAAADzP/rc=")</f>
        <v>#REF!</v>
      </c>
      <c r="GC13" t="e">
        <f>AND(#REF!,"AAAAADzP/rg=")</f>
        <v>#REF!</v>
      </c>
      <c r="GD13" t="e">
        <f>AND(#REF!,"AAAAADzP/rk=")</f>
        <v>#REF!</v>
      </c>
      <c r="GE13" t="e">
        <f>AND(#REF!,"AAAAADzP/ro=")</f>
        <v>#REF!</v>
      </c>
      <c r="GF13" t="e">
        <f>AND(#REF!,"AAAAADzP/rs=")</f>
        <v>#REF!</v>
      </c>
      <c r="GG13" t="e">
        <f>AND(#REF!,"AAAAADzP/rw=")</f>
        <v>#REF!</v>
      </c>
      <c r="GH13" t="e">
        <f>AND(#REF!,"AAAAADzP/r0=")</f>
        <v>#REF!</v>
      </c>
      <c r="GI13" t="e">
        <f>AND(#REF!,"AAAAADzP/r4=")</f>
        <v>#REF!</v>
      </c>
      <c r="GJ13" t="e">
        <f>AND(#REF!,"AAAAADzP/r8=")</f>
        <v>#REF!</v>
      </c>
      <c r="GK13" t="e">
        <f>AND(#REF!,"AAAAADzP/sA=")</f>
        <v>#REF!</v>
      </c>
      <c r="GL13" t="e">
        <f>IF(#REF!,"AAAAADzP/sE=",0)</f>
        <v>#REF!</v>
      </c>
      <c r="GM13" t="e">
        <f>AND(#REF!,"AAAAADzP/sI=")</f>
        <v>#REF!</v>
      </c>
      <c r="GN13" t="e">
        <f>AND(#REF!,"AAAAADzP/sM=")</f>
        <v>#REF!</v>
      </c>
      <c r="GO13" t="e">
        <f>AND(#REF!,"AAAAADzP/sQ=")</f>
        <v>#REF!</v>
      </c>
      <c r="GP13" t="e">
        <f>AND(#REF!,"AAAAADzP/sU=")</f>
        <v>#REF!</v>
      </c>
      <c r="GQ13" t="e">
        <f>AND(#REF!,"AAAAADzP/sY=")</f>
        <v>#REF!</v>
      </c>
      <c r="GR13" t="e">
        <f>AND(#REF!,"AAAAADzP/sc=")</f>
        <v>#REF!</v>
      </c>
      <c r="GS13" t="e">
        <f>AND(#REF!,"AAAAADzP/sg=")</f>
        <v>#REF!</v>
      </c>
      <c r="GT13" t="e">
        <f>AND(#REF!,"AAAAADzP/sk=")</f>
        <v>#REF!</v>
      </c>
      <c r="GU13" t="e">
        <f>AND(#REF!,"AAAAADzP/so=")</f>
        <v>#REF!</v>
      </c>
      <c r="GV13" t="e">
        <f>AND(#REF!,"AAAAADzP/ss=")</f>
        <v>#REF!</v>
      </c>
      <c r="GW13" t="e">
        <f>AND(#REF!,"AAAAADzP/sw=")</f>
        <v>#REF!</v>
      </c>
      <c r="GX13" t="e">
        <f>AND(#REF!,"AAAAADzP/s0=")</f>
        <v>#REF!</v>
      </c>
      <c r="GY13" t="e">
        <f>AND(#REF!,"AAAAADzP/s4=")</f>
        <v>#REF!</v>
      </c>
      <c r="GZ13" t="e">
        <f>AND(#REF!,"AAAAADzP/s8=")</f>
        <v>#REF!</v>
      </c>
      <c r="HA13" t="e">
        <f>AND(#REF!,"AAAAADzP/tA=")</f>
        <v>#REF!</v>
      </c>
      <c r="HB13" t="e">
        <f>AND(#REF!,"AAAAADzP/tE=")</f>
        <v>#REF!</v>
      </c>
      <c r="HC13" t="e">
        <f>AND(#REF!,"AAAAADzP/tI=")</f>
        <v>#REF!</v>
      </c>
      <c r="HD13" t="e">
        <f>AND(#REF!,"AAAAADzP/tM=")</f>
        <v>#REF!</v>
      </c>
      <c r="HE13" t="e">
        <f>AND(#REF!,"AAAAADzP/tQ=")</f>
        <v>#REF!</v>
      </c>
      <c r="HF13" t="e">
        <f>AND(#REF!,"AAAAADzP/tU=")</f>
        <v>#REF!</v>
      </c>
      <c r="HG13" t="e">
        <f>AND(#REF!,"AAAAADzP/tY=")</f>
        <v>#REF!</v>
      </c>
      <c r="HH13" t="e">
        <f>AND(#REF!,"AAAAADzP/tc=")</f>
        <v>#REF!</v>
      </c>
      <c r="HI13" t="e">
        <f>AND(#REF!,"AAAAADzP/tg=")</f>
        <v>#REF!</v>
      </c>
      <c r="HJ13" t="e">
        <f>AND(#REF!,"AAAAADzP/tk=")</f>
        <v>#REF!</v>
      </c>
      <c r="HK13" t="e">
        <f>AND(#REF!,"AAAAADzP/to=")</f>
        <v>#REF!</v>
      </c>
      <c r="HL13" t="e">
        <f>AND(#REF!,"AAAAADzP/ts=")</f>
        <v>#REF!</v>
      </c>
      <c r="HM13" t="e">
        <f>IF(#REF!,"AAAAADzP/tw=",0)</f>
        <v>#REF!</v>
      </c>
      <c r="HN13" t="e">
        <f>AND(#REF!,"AAAAADzP/t0=")</f>
        <v>#REF!</v>
      </c>
      <c r="HO13" t="e">
        <f>AND(#REF!,"AAAAADzP/t4=")</f>
        <v>#REF!</v>
      </c>
      <c r="HP13" t="e">
        <f>AND(#REF!,"AAAAADzP/t8=")</f>
        <v>#REF!</v>
      </c>
      <c r="HQ13" t="e">
        <f>AND(#REF!,"AAAAADzP/uA=")</f>
        <v>#REF!</v>
      </c>
      <c r="HR13" t="e">
        <f>AND(#REF!,"AAAAADzP/uE=")</f>
        <v>#REF!</v>
      </c>
      <c r="HS13" t="e">
        <f>AND(#REF!,"AAAAADzP/uI=")</f>
        <v>#REF!</v>
      </c>
      <c r="HT13" t="e">
        <f>AND(#REF!,"AAAAADzP/uM=")</f>
        <v>#REF!</v>
      </c>
      <c r="HU13" t="e">
        <f>AND(#REF!,"AAAAADzP/uQ=")</f>
        <v>#REF!</v>
      </c>
      <c r="HV13" t="e">
        <f>AND(#REF!,"AAAAADzP/uU=")</f>
        <v>#REF!</v>
      </c>
      <c r="HW13" t="e">
        <f>AND(#REF!,"AAAAADzP/uY=")</f>
        <v>#REF!</v>
      </c>
      <c r="HX13" t="e">
        <f>AND(#REF!,"AAAAADzP/uc=")</f>
        <v>#REF!</v>
      </c>
      <c r="HY13" t="e">
        <f>AND(#REF!,"AAAAADzP/ug=")</f>
        <v>#REF!</v>
      </c>
      <c r="HZ13" t="e">
        <f>AND(#REF!,"AAAAADzP/uk=")</f>
        <v>#REF!</v>
      </c>
      <c r="IA13" t="e">
        <f>AND(#REF!,"AAAAADzP/uo=")</f>
        <v>#REF!</v>
      </c>
      <c r="IB13" t="e">
        <f>AND(#REF!,"AAAAADzP/us=")</f>
        <v>#REF!</v>
      </c>
      <c r="IC13" t="e">
        <f>AND(#REF!,"AAAAADzP/uw=")</f>
        <v>#REF!</v>
      </c>
      <c r="ID13" t="e">
        <f>AND(#REF!,"AAAAADzP/u0=")</f>
        <v>#REF!</v>
      </c>
      <c r="IE13" t="e">
        <f>AND(#REF!,"AAAAADzP/u4=")</f>
        <v>#REF!</v>
      </c>
      <c r="IF13" t="e">
        <f>AND(#REF!,"AAAAADzP/u8=")</f>
        <v>#REF!</v>
      </c>
      <c r="IG13" t="e">
        <f>AND(#REF!,"AAAAADzP/vA=")</f>
        <v>#REF!</v>
      </c>
      <c r="IH13" t="e">
        <f>AND(#REF!,"AAAAADzP/vE=")</f>
        <v>#REF!</v>
      </c>
      <c r="II13" t="e">
        <f>AND(#REF!,"AAAAADzP/vI=")</f>
        <v>#REF!</v>
      </c>
      <c r="IJ13" t="e">
        <f>AND(#REF!,"AAAAADzP/vM=")</f>
        <v>#REF!</v>
      </c>
      <c r="IK13" t="e">
        <f>AND(#REF!,"AAAAADzP/vQ=")</f>
        <v>#REF!</v>
      </c>
      <c r="IL13" t="e">
        <f>AND(#REF!,"AAAAADzP/vU=")</f>
        <v>#REF!</v>
      </c>
      <c r="IM13" t="e">
        <f>AND(#REF!,"AAAAADzP/vY=")</f>
        <v>#REF!</v>
      </c>
      <c r="IN13" t="e">
        <f>IF(#REF!,"AAAAADzP/vc=",0)</f>
        <v>#REF!</v>
      </c>
      <c r="IO13" t="e">
        <f>AND(#REF!,"AAAAADzP/vg=")</f>
        <v>#REF!</v>
      </c>
      <c r="IP13" t="e">
        <f>AND(#REF!,"AAAAADzP/vk=")</f>
        <v>#REF!</v>
      </c>
      <c r="IQ13" t="e">
        <f>AND(#REF!,"AAAAADzP/vo=")</f>
        <v>#REF!</v>
      </c>
      <c r="IR13" t="e">
        <f>AND(#REF!,"AAAAADzP/vs=")</f>
        <v>#REF!</v>
      </c>
      <c r="IS13" t="e">
        <f>AND(#REF!,"AAAAADzP/vw=")</f>
        <v>#REF!</v>
      </c>
      <c r="IT13" t="e">
        <f>AND(#REF!,"AAAAADzP/v0=")</f>
        <v>#REF!</v>
      </c>
      <c r="IU13" t="e">
        <f>AND(#REF!,"AAAAADzP/v4=")</f>
        <v>#REF!</v>
      </c>
      <c r="IV13" t="e">
        <f>AND(#REF!,"AAAAADzP/v8=")</f>
        <v>#REF!</v>
      </c>
    </row>
    <row r="14" spans="1:256" x14ac:dyDescent="0.2">
      <c r="A14" t="e">
        <f>AND(#REF!,"AAAAAH+degA=")</f>
        <v>#REF!</v>
      </c>
      <c r="B14" t="e">
        <f>AND(#REF!,"AAAAAH+degE=")</f>
        <v>#REF!</v>
      </c>
      <c r="C14" t="e">
        <f>AND(#REF!,"AAAAAH+degI=")</f>
        <v>#REF!</v>
      </c>
      <c r="D14" t="e">
        <f>AND(#REF!,"AAAAAH+degM=")</f>
        <v>#REF!</v>
      </c>
      <c r="E14" t="e">
        <f>AND(#REF!,"AAAAAH+degQ=")</f>
        <v>#REF!</v>
      </c>
      <c r="F14" t="e">
        <f>AND(#REF!,"AAAAAH+degU=")</f>
        <v>#REF!</v>
      </c>
      <c r="G14" t="e">
        <f>AND(#REF!,"AAAAAH+degY=")</f>
        <v>#REF!</v>
      </c>
      <c r="H14" t="e">
        <f>AND(#REF!,"AAAAAH+degc=")</f>
        <v>#REF!</v>
      </c>
      <c r="I14" t="e">
        <f>AND(#REF!,"AAAAAH+degg=")</f>
        <v>#REF!</v>
      </c>
      <c r="J14" t="e">
        <f>AND(#REF!,"AAAAAH+degk=")</f>
        <v>#REF!</v>
      </c>
      <c r="K14" t="e">
        <f>AND(#REF!,"AAAAAH+dego=")</f>
        <v>#REF!</v>
      </c>
      <c r="L14" t="e">
        <f>AND(#REF!,"AAAAAH+degs=")</f>
        <v>#REF!</v>
      </c>
      <c r="M14" t="e">
        <f>AND(#REF!,"AAAAAH+degw=")</f>
        <v>#REF!</v>
      </c>
      <c r="N14" t="e">
        <f>AND(#REF!,"AAAAAH+deg0=")</f>
        <v>#REF!</v>
      </c>
      <c r="O14" t="e">
        <f>AND(#REF!,"AAAAAH+deg4=")</f>
        <v>#REF!</v>
      </c>
      <c r="P14" t="e">
        <f>AND(#REF!,"AAAAAH+deg8=")</f>
        <v>#REF!</v>
      </c>
      <c r="Q14" t="e">
        <f>AND(#REF!,"AAAAAH+dehA=")</f>
        <v>#REF!</v>
      </c>
      <c r="R14" t="e">
        <f>AND(#REF!,"AAAAAH+dehE=")</f>
        <v>#REF!</v>
      </c>
      <c r="S14" t="e">
        <f>IF(#REF!,"AAAAAH+dehI=",0)</f>
        <v>#REF!</v>
      </c>
      <c r="T14" t="e">
        <f>AND(#REF!,"AAAAAH+dehM=")</f>
        <v>#REF!</v>
      </c>
      <c r="U14" t="e">
        <f>AND(#REF!,"AAAAAH+dehQ=")</f>
        <v>#REF!</v>
      </c>
      <c r="V14" t="e">
        <f>AND(#REF!,"AAAAAH+dehU=")</f>
        <v>#REF!</v>
      </c>
      <c r="W14" t="e">
        <f>AND(#REF!,"AAAAAH+dehY=")</f>
        <v>#REF!</v>
      </c>
      <c r="X14" t="e">
        <f>AND(#REF!,"AAAAAH+dehc=")</f>
        <v>#REF!</v>
      </c>
      <c r="Y14" t="e">
        <f>AND(#REF!,"AAAAAH+dehg=")</f>
        <v>#REF!</v>
      </c>
      <c r="Z14" t="e">
        <f>AND(#REF!,"AAAAAH+dehk=")</f>
        <v>#REF!</v>
      </c>
      <c r="AA14" t="e">
        <f>AND(#REF!,"AAAAAH+deho=")</f>
        <v>#REF!</v>
      </c>
      <c r="AB14" t="e">
        <f>AND(#REF!,"AAAAAH+dehs=")</f>
        <v>#REF!</v>
      </c>
      <c r="AC14" t="e">
        <f>AND(#REF!,"AAAAAH+dehw=")</f>
        <v>#REF!</v>
      </c>
      <c r="AD14" t="e">
        <f>AND(#REF!,"AAAAAH+deh0=")</f>
        <v>#REF!</v>
      </c>
      <c r="AE14" t="e">
        <f>AND(#REF!,"AAAAAH+deh4=")</f>
        <v>#REF!</v>
      </c>
      <c r="AF14" t="e">
        <f>AND(#REF!,"AAAAAH+deh8=")</f>
        <v>#REF!</v>
      </c>
      <c r="AG14" t="e">
        <f>AND(#REF!,"AAAAAH+deiA=")</f>
        <v>#REF!</v>
      </c>
      <c r="AH14" t="e">
        <f>AND(#REF!,"AAAAAH+deiE=")</f>
        <v>#REF!</v>
      </c>
      <c r="AI14" t="e">
        <f>AND(#REF!,"AAAAAH+deiI=")</f>
        <v>#REF!</v>
      </c>
      <c r="AJ14" t="e">
        <f>AND(#REF!,"AAAAAH+deiM=")</f>
        <v>#REF!</v>
      </c>
      <c r="AK14" t="e">
        <f>AND(#REF!,"AAAAAH+deiQ=")</f>
        <v>#REF!</v>
      </c>
      <c r="AL14" t="e">
        <f>AND(#REF!,"AAAAAH+deiU=")</f>
        <v>#REF!</v>
      </c>
      <c r="AM14" t="e">
        <f>AND(#REF!,"AAAAAH+deiY=")</f>
        <v>#REF!</v>
      </c>
      <c r="AN14" t="e">
        <f>AND(#REF!,"AAAAAH+deic=")</f>
        <v>#REF!</v>
      </c>
      <c r="AO14" t="e">
        <f>AND(#REF!,"AAAAAH+deig=")</f>
        <v>#REF!</v>
      </c>
      <c r="AP14" t="e">
        <f>AND(#REF!,"AAAAAH+deik=")</f>
        <v>#REF!</v>
      </c>
      <c r="AQ14" t="e">
        <f>AND(#REF!,"AAAAAH+deio=")</f>
        <v>#REF!</v>
      </c>
      <c r="AR14" t="e">
        <f>AND(#REF!,"AAAAAH+deis=")</f>
        <v>#REF!</v>
      </c>
      <c r="AS14" t="e">
        <f>AND(#REF!,"AAAAAH+deiw=")</f>
        <v>#REF!</v>
      </c>
      <c r="AT14" t="e">
        <f>IF(#REF!,"AAAAAH+dei0=",0)</f>
        <v>#REF!</v>
      </c>
      <c r="AU14" t="e">
        <f>AND(#REF!,"AAAAAH+dei4=")</f>
        <v>#REF!</v>
      </c>
      <c r="AV14" t="e">
        <f>AND(#REF!,"AAAAAH+dei8=")</f>
        <v>#REF!</v>
      </c>
      <c r="AW14" t="e">
        <f>AND(#REF!,"AAAAAH+dejA=")</f>
        <v>#REF!</v>
      </c>
      <c r="AX14" t="e">
        <f>AND(#REF!,"AAAAAH+dejE=")</f>
        <v>#REF!</v>
      </c>
      <c r="AY14" t="e">
        <f>AND(#REF!,"AAAAAH+dejI=")</f>
        <v>#REF!</v>
      </c>
      <c r="AZ14" t="e">
        <f>AND(#REF!,"AAAAAH+dejM=")</f>
        <v>#REF!</v>
      </c>
      <c r="BA14" t="e">
        <f>AND(#REF!,"AAAAAH+dejQ=")</f>
        <v>#REF!</v>
      </c>
      <c r="BB14" t="e">
        <f>AND(#REF!,"AAAAAH+dejU=")</f>
        <v>#REF!</v>
      </c>
      <c r="BC14" t="e">
        <f>AND(#REF!,"AAAAAH+dejY=")</f>
        <v>#REF!</v>
      </c>
      <c r="BD14" t="e">
        <f>AND(#REF!,"AAAAAH+dejc=")</f>
        <v>#REF!</v>
      </c>
      <c r="BE14" t="e">
        <f>AND(#REF!,"AAAAAH+dejg=")</f>
        <v>#REF!</v>
      </c>
      <c r="BF14" t="e">
        <f>AND(#REF!,"AAAAAH+dejk=")</f>
        <v>#REF!</v>
      </c>
      <c r="BG14" t="e">
        <f>AND(#REF!,"AAAAAH+dejo=")</f>
        <v>#REF!</v>
      </c>
      <c r="BH14" t="e">
        <f>AND(#REF!,"AAAAAH+dejs=")</f>
        <v>#REF!</v>
      </c>
      <c r="BI14" t="e">
        <f>AND(#REF!,"AAAAAH+dejw=")</f>
        <v>#REF!</v>
      </c>
      <c r="BJ14" t="e">
        <f>AND(#REF!,"AAAAAH+dej0=")</f>
        <v>#REF!</v>
      </c>
      <c r="BK14" t="e">
        <f>AND(#REF!,"AAAAAH+dej4=")</f>
        <v>#REF!</v>
      </c>
      <c r="BL14" t="e">
        <f>AND(#REF!,"AAAAAH+dej8=")</f>
        <v>#REF!</v>
      </c>
      <c r="BM14" t="e">
        <f>AND(#REF!,"AAAAAH+dekA=")</f>
        <v>#REF!</v>
      </c>
      <c r="BN14" t="e">
        <f>AND(#REF!,"AAAAAH+dekE=")</f>
        <v>#REF!</v>
      </c>
      <c r="BO14" t="e">
        <f>AND(#REF!,"AAAAAH+dekI=")</f>
        <v>#REF!</v>
      </c>
      <c r="BP14" t="e">
        <f>AND(#REF!,"AAAAAH+dekM=")</f>
        <v>#REF!</v>
      </c>
      <c r="BQ14" t="e">
        <f>AND(#REF!,"AAAAAH+dekQ=")</f>
        <v>#REF!</v>
      </c>
      <c r="BR14" t="e">
        <f>AND(#REF!,"AAAAAH+dekU=")</f>
        <v>#REF!</v>
      </c>
      <c r="BS14" t="e">
        <f>AND(#REF!,"AAAAAH+dekY=")</f>
        <v>#REF!</v>
      </c>
      <c r="BT14" t="e">
        <f>AND(#REF!,"AAAAAH+dekc=")</f>
        <v>#REF!</v>
      </c>
      <c r="BU14" t="e">
        <f>IF(#REF!,"AAAAAH+dekg=",0)</f>
        <v>#REF!</v>
      </c>
      <c r="BV14" t="e">
        <f>AND(#REF!,"AAAAAH+dekk=")</f>
        <v>#REF!</v>
      </c>
      <c r="BW14" t="e">
        <f>AND(#REF!,"AAAAAH+deko=")</f>
        <v>#REF!</v>
      </c>
      <c r="BX14" t="e">
        <f>AND(#REF!,"AAAAAH+deks=")</f>
        <v>#REF!</v>
      </c>
      <c r="BY14" t="e">
        <f>AND(#REF!,"AAAAAH+dekw=")</f>
        <v>#REF!</v>
      </c>
      <c r="BZ14" t="e">
        <f>AND(#REF!,"AAAAAH+dek0=")</f>
        <v>#REF!</v>
      </c>
      <c r="CA14" t="e">
        <f>AND(#REF!,"AAAAAH+dek4=")</f>
        <v>#REF!</v>
      </c>
      <c r="CB14" t="e">
        <f>AND(#REF!,"AAAAAH+dek8=")</f>
        <v>#REF!</v>
      </c>
      <c r="CC14" t="e">
        <f>AND(#REF!,"AAAAAH+delA=")</f>
        <v>#REF!</v>
      </c>
      <c r="CD14" t="e">
        <f>AND(#REF!,"AAAAAH+delE=")</f>
        <v>#REF!</v>
      </c>
      <c r="CE14" t="e">
        <f>AND(#REF!,"AAAAAH+delI=")</f>
        <v>#REF!</v>
      </c>
      <c r="CF14" t="e">
        <f>AND(#REF!,"AAAAAH+delM=")</f>
        <v>#REF!</v>
      </c>
      <c r="CG14" t="e">
        <f>AND(#REF!,"AAAAAH+delQ=")</f>
        <v>#REF!</v>
      </c>
      <c r="CH14" t="e">
        <f>AND(#REF!,"AAAAAH+delU=")</f>
        <v>#REF!</v>
      </c>
      <c r="CI14" t="e">
        <f>AND(#REF!,"AAAAAH+delY=")</f>
        <v>#REF!</v>
      </c>
      <c r="CJ14" t="e">
        <f>AND(#REF!,"AAAAAH+delc=")</f>
        <v>#REF!</v>
      </c>
      <c r="CK14" t="e">
        <f>AND(#REF!,"AAAAAH+delg=")</f>
        <v>#REF!</v>
      </c>
      <c r="CL14" t="e">
        <f>AND(#REF!,"AAAAAH+delk=")</f>
        <v>#REF!</v>
      </c>
      <c r="CM14" t="e">
        <f>AND(#REF!,"AAAAAH+delo=")</f>
        <v>#REF!</v>
      </c>
      <c r="CN14" t="e">
        <f>AND(#REF!,"AAAAAH+dels=")</f>
        <v>#REF!</v>
      </c>
      <c r="CO14" t="e">
        <f>AND(#REF!,"AAAAAH+delw=")</f>
        <v>#REF!</v>
      </c>
      <c r="CP14" t="e">
        <f>AND(#REF!,"AAAAAH+del0=")</f>
        <v>#REF!</v>
      </c>
      <c r="CQ14" t="e">
        <f>AND(#REF!,"AAAAAH+del4=")</f>
        <v>#REF!</v>
      </c>
      <c r="CR14" t="e">
        <f>AND(#REF!,"AAAAAH+del8=")</f>
        <v>#REF!</v>
      </c>
      <c r="CS14" t="e">
        <f>AND(#REF!,"AAAAAH+demA=")</f>
        <v>#REF!</v>
      </c>
      <c r="CT14" t="e">
        <f>AND(#REF!,"AAAAAH+demE=")</f>
        <v>#REF!</v>
      </c>
      <c r="CU14" t="e">
        <f>AND(#REF!,"AAAAAH+demI=")</f>
        <v>#REF!</v>
      </c>
      <c r="CV14" t="e">
        <f>IF(#REF!,"AAAAAH+demM=",0)</f>
        <v>#REF!</v>
      </c>
      <c r="CW14" t="e">
        <f>AND(#REF!,"AAAAAH+demQ=")</f>
        <v>#REF!</v>
      </c>
      <c r="CX14" t="e">
        <f>AND(#REF!,"AAAAAH+demU=")</f>
        <v>#REF!</v>
      </c>
      <c r="CY14" t="e">
        <f>AND(#REF!,"AAAAAH+demY=")</f>
        <v>#REF!</v>
      </c>
      <c r="CZ14" t="e">
        <f>AND(#REF!,"AAAAAH+demc=")</f>
        <v>#REF!</v>
      </c>
      <c r="DA14" t="e">
        <f>AND(#REF!,"AAAAAH+demg=")</f>
        <v>#REF!</v>
      </c>
      <c r="DB14" t="e">
        <f>AND(#REF!,"AAAAAH+demk=")</f>
        <v>#REF!</v>
      </c>
      <c r="DC14" t="e">
        <f>AND(#REF!,"AAAAAH+demo=")</f>
        <v>#REF!</v>
      </c>
      <c r="DD14" t="e">
        <f>AND(#REF!,"AAAAAH+dems=")</f>
        <v>#REF!</v>
      </c>
      <c r="DE14" t="e">
        <f>AND(#REF!,"AAAAAH+demw=")</f>
        <v>#REF!</v>
      </c>
      <c r="DF14" t="e">
        <f>AND(#REF!,"AAAAAH+dem0=")</f>
        <v>#REF!</v>
      </c>
      <c r="DG14" t="e">
        <f>AND(#REF!,"AAAAAH+dem4=")</f>
        <v>#REF!</v>
      </c>
      <c r="DH14" t="e">
        <f>AND(#REF!,"AAAAAH+dem8=")</f>
        <v>#REF!</v>
      </c>
      <c r="DI14" t="e">
        <f>AND(#REF!,"AAAAAH+denA=")</f>
        <v>#REF!</v>
      </c>
      <c r="DJ14" t="e">
        <f>AND(#REF!,"AAAAAH+denE=")</f>
        <v>#REF!</v>
      </c>
      <c r="DK14" t="e">
        <f>AND(#REF!,"AAAAAH+denI=")</f>
        <v>#REF!</v>
      </c>
      <c r="DL14" t="e">
        <f>AND(#REF!,"AAAAAH+denM=")</f>
        <v>#REF!</v>
      </c>
      <c r="DM14" t="e">
        <f>AND(#REF!,"AAAAAH+denQ=")</f>
        <v>#REF!</v>
      </c>
      <c r="DN14" t="e">
        <f>AND(#REF!,"AAAAAH+denU=")</f>
        <v>#REF!</v>
      </c>
      <c r="DO14" t="e">
        <f>AND(#REF!,"AAAAAH+denY=")</f>
        <v>#REF!</v>
      </c>
      <c r="DP14" t="e">
        <f>AND(#REF!,"AAAAAH+denc=")</f>
        <v>#REF!</v>
      </c>
      <c r="DQ14" t="e">
        <f>AND(#REF!,"AAAAAH+deng=")</f>
        <v>#REF!</v>
      </c>
      <c r="DR14" t="e">
        <f>AND(#REF!,"AAAAAH+denk=")</f>
        <v>#REF!</v>
      </c>
      <c r="DS14" t="e">
        <f>AND(#REF!,"AAAAAH+deno=")</f>
        <v>#REF!</v>
      </c>
      <c r="DT14" t="e">
        <f>AND(#REF!,"AAAAAH+dens=")</f>
        <v>#REF!</v>
      </c>
      <c r="DU14" t="e">
        <f>AND(#REF!,"AAAAAH+denw=")</f>
        <v>#REF!</v>
      </c>
      <c r="DV14" t="e">
        <f>AND(#REF!,"AAAAAH+den0=")</f>
        <v>#REF!</v>
      </c>
      <c r="DW14" t="e">
        <f>IF(#REF!,"AAAAAH+den4=",0)</f>
        <v>#REF!</v>
      </c>
      <c r="DX14" t="e">
        <f>AND(#REF!,"AAAAAH+den8=")</f>
        <v>#REF!</v>
      </c>
      <c r="DY14" t="e">
        <f>AND(#REF!,"AAAAAH+deoA=")</f>
        <v>#REF!</v>
      </c>
      <c r="DZ14" t="e">
        <f>AND(#REF!,"AAAAAH+deoE=")</f>
        <v>#REF!</v>
      </c>
      <c r="EA14" t="e">
        <f>AND(#REF!,"AAAAAH+deoI=")</f>
        <v>#REF!</v>
      </c>
      <c r="EB14" t="e">
        <f>AND(#REF!,"AAAAAH+deoM=")</f>
        <v>#REF!</v>
      </c>
      <c r="EC14" t="e">
        <f>AND(#REF!,"AAAAAH+deoQ=")</f>
        <v>#REF!</v>
      </c>
      <c r="ED14" t="e">
        <f>AND(#REF!,"AAAAAH+deoU=")</f>
        <v>#REF!</v>
      </c>
      <c r="EE14" t="e">
        <f>AND(#REF!,"AAAAAH+deoY=")</f>
        <v>#REF!</v>
      </c>
      <c r="EF14" t="e">
        <f>AND(#REF!,"AAAAAH+deoc=")</f>
        <v>#REF!</v>
      </c>
      <c r="EG14" t="e">
        <f>AND(#REF!,"AAAAAH+deog=")</f>
        <v>#REF!</v>
      </c>
      <c r="EH14" t="e">
        <f>AND(#REF!,"AAAAAH+deok=")</f>
        <v>#REF!</v>
      </c>
      <c r="EI14" t="e">
        <f>AND(#REF!,"AAAAAH+deoo=")</f>
        <v>#REF!</v>
      </c>
      <c r="EJ14" t="e">
        <f>AND(#REF!,"AAAAAH+deos=")</f>
        <v>#REF!</v>
      </c>
      <c r="EK14" t="e">
        <f>AND(#REF!,"AAAAAH+deow=")</f>
        <v>#REF!</v>
      </c>
      <c r="EL14" t="e">
        <f>AND(#REF!,"AAAAAH+deo0=")</f>
        <v>#REF!</v>
      </c>
      <c r="EM14" t="e">
        <f>AND(#REF!,"AAAAAH+deo4=")</f>
        <v>#REF!</v>
      </c>
      <c r="EN14" t="e">
        <f>AND(#REF!,"AAAAAH+deo8=")</f>
        <v>#REF!</v>
      </c>
      <c r="EO14" t="e">
        <f>AND(#REF!,"AAAAAH+depA=")</f>
        <v>#REF!</v>
      </c>
      <c r="EP14" t="e">
        <f>AND(#REF!,"AAAAAH+depE=")</f>
        <v>#REF!</v>
      </c>
      <c r="EQ14" t="e">
        <f>AND(#REF!,"AAAAAH+depI=")</f>
        <v>#REF!</v>
      </c>
      <c r="ER14" t="e">
        <f>AND(#REF!,"AAAAAH+depM=")</f>
        <v>#REF!</v>
      </c>
      <c r="ES14" t="e">
        <f>AND(#REF!,"AAAAAH+depQ=")</f>
        <v>#REF!</v>
      </c>
      <c r="ET14" t="e">
        <f>AND(#REF!,"AAAAAH+depU=")</f>
        <v>#REF!</v>
      </c>
      <c r="EU14" t="e">
        <f>AND(#REF!,"AAAAAH+depY=")</f>
        <v>#REF!</v>
      </c>
      <c r="EV14" t="e">
        <f>AND(#REF!,"AAAAAH+depc=")</f>
        <v>#REF!</v>
      </c>
      <c r="EW14" t="e">
        <f>AND(#REF!,"AAAAAH+depg=")</f>
        <v>#REF!</v>
      </c>
      <c r="EX14" t="e">
        <f>IF(#REF!,"AAAAAH+depk=",0)</f>
        <v>#REF!</v>
      </c>
      <c r="EY14" t="e">
        <f>AND(#REF!,"AAAAAH+depo=")</f>
        <v>#REF!</v>
      </c>
      <c r="EZ14" t="e">
        <f>AND(#REF!,"AAAAAH+deps=")</f>
        <v>#REF!</v>
      </c>
      <c r="FA14" t="e">
        <f>AND(#REF!,"AAAAAH+depw=")</f>
        <v>#REF!</v>
      </c>
      <c r="FB14" t="e">
        <f>AND(#REF!,"AAAAAH+dep0=")</f>
        <v>#REF!</v>
      </c>
      <c r="FC14" t="e">
        <f>AND(#REF!,"AAAAAH+dep4=")</f>
        <v>#REF!</v>
      </c>
      <c r="FD14" t="e">
        <f>AND(#REF!,"AAAAAH+dep8=")</f>
        <v>#REF!</v>
      </c>
      <c r="FE14" t="e">
        <f>AND(#REF!,"AAAAAH+deqA=")</f>
        <v>#REF!</v>
      </c>
      <c r="FF14" t="e">
        <f>AND(#REF!,"AAAAAH+deqE=")</f>
        <v>#REF!</v>
      </c>
      <c r="FG14" t="e">
        <f>AND(#REF!,"AAAAAH+deqI=")</f>
        <v>#REF!</v>
      </c>
      <c r="FH14" t="e">
        <f>AND(#REF!,"AAAAAH+deqM=")</f>
        <v>#REF!</v>
      </c>
      <c r="FI14" t="e">
        <f>AND(#REF!,"AAAAAH+deqQ=")</f>
        <v>#REF!</v>
      </c>
      <c r="FJ14" t="e">
        <f>AND(#REF!,"AAAAAH+deqU=")</f>
        <v>#REF!</v>
      </c>
      <c r="FK14" t="e">
        <f>AND(#REF!,"AAAAAH+deqY=")</f>
        <v>#REF!</v>
      </c>
      <c r="FL14" t="e">
        <f>AND(#REF!,"AAAAAH+deqc=")</f>
        <v>#REF!</v>
      </c>
      <c r="FM14" t="e">
        <f>AND(#REF!,"AAAAAH+deqg=")</f>
        <v>#REF!</v>
      </c>
      <c r="FN14" t="e">
        <f>AND(#REF!,"AAAAAH+deqk=")</f>
        <v>#REF!</v>
      </c>
      <c r="FO14" t="e">
        <f>AND(#REF!,"AAAAAH+deqo=")</f>
        <v>#REF!</v>
      </c>
      <c r="FP14" t="e">
        <f>AND(#REF!,"AAAAAH+deqs=")</f>
        <v>#REF!</v>
      </c>
      <c r="FQ14" t="e">
        <f>AND(#REF!,"AAAAAH+deqw=")</f>
        <v>#REF!</v>
      </c>
      <c r="FR14" t="e">
        <f>AND(#REF!,"AAAAAH+deq0=")</f>
        <v>#REF!</v>
      </c>
      <c r="FS14" t="e">
        <f>AND(#REF!,"AAAAAH+deq4=")</f>
        <v>#REF!</v>
      </c>
      <c r="FT14" t="e">
        <f>AND(#REF!,"AAAAAH+deq8=")</f>
        <v>#REF!</v>
      </c>
      <c r="FU14" t="e">
        <f>AND(#REF!,"AAAAAH+derA=")</f>
        <v>#REF!</v>
      </c>
      <c r="FV14" t="e">
        <f>AND(#REF!,"AAAAAH+derE=")</f>
        <v>#REF!</v>
      </c>
      <c r="FW14" t="e">
        <f>AND(#REF!,"AAAAAH+derI=")</f>
        <v>#REF!</v>
      </c>
      <c r="FX14" t="e">
        <f>AND(#REF!,"AAAAAH+derM=")</f>
        <v>#REF!</v>
      </c>
      <c r="FY14" t="e">
        <f>IF(#REF!,"AAAAAH+derQ=",0)</f>
        <v>#REF!</v>
      </c>
      <c r="FZ14" t="e">
        <f>AND(#REF!,"AAAAAH+derU=")</f>
        <v>#REF!</v>
      </c>
      <c r="GA14" t="e">
        <f>AND(#REF!,"AAAAAH+derY=")</f>
        <v>#REF!</v>
      </c>
      <c r="GB14" t="e">
        <f>AND(#REF!,"AAAAAH+derc=")</f>
        <v>#REF!</v>
      </c>
      <c r="GC14" t="e">
        <f>AND(#REF!,"AAAAAH+derg=")</f>
        <v>#REF!</v>
      </c>
      <c r="GD14" t="e">
        <f>AND(#REF!,"AAAAAH+derk=")</f>
        <v>#REF!</v>
      </c>
      <c r="GE14" t="e">
        <f>AND(#REF!,"AAAAAH+dero=")</f>
        <v>#REF!</v>
      </c>
      <c r="GF14" t="e">
        <f>AND(#REF!,"AAAAAH+ders=")</f>
        <v>#REF!</v>
      </c>
      <c r="GG14" t="e">
        <f>AND(#REF!,"AAAAAH+derw=")</f>
        <v>#REF!</v>
      </c>
      <c r="GH14" t="e">
        <f>AND(#REF!,"AAAAAH+der0=")</f>
        <v>#REF!</v>
      </c>
      <c r="GI14" t="e">
        <f>AND(#REF!,"AAAAAH+der4=")</f>
        <v>#REF!</v>
      </c>
      <c r="GJ14" t="e">
        <f>AND(#REF!,"AAAAAH+der8=")</f>
        <v>#REF!</v>
      </c>
      <c r="GK14" t="e">
        <f>AND(#REF!,"AAAAAH+desA=")</f>
        <v>#REF!</v>
      </c>
      <c r="GL14" t="e">
        <f>AND(#REF!,"AAAAAH+desE=")</f>
        <v>#REF!</v>
      </c>
      <c r="GM14" t="e">
        <f>AND(#REF!,"AAAAAH+desI=")</f>
        <v>#REF!</v>
      </c>
      <c r="GN14" t="e">
        <f>AND(#REF!,"AAAAAH+desM=")</f>
        <v>#REF!</v>
      </c>
      <c r="GO14" t="e">
        <f>AND(#REF!,"AAAAAH+desQ=")</f>
        <v>#REF!</v>
      </c>
      <c r="GP14" t="e">
        <f>AND(#REF!,"AAAAAH+desU=")</f>
        <v>#REF!</v>
      </c>
      <c r="GQ14" t="e">
        <f>AND(#REF!,"AAAAAH+desY=")</f>
        <v>#REF!</v>
      </c>
      <c r="GR14" t="e">
        <f>AND(#REF!,"AAAAAH+desc=")</f>
        <v>#REF!</v>
      </c>
      <c r="GS14" t="e">
        <f>AND(#REF!,"AAAAAH+desg=")</f>
        <v>#REF!</v>
      </c>
      <c r="GT14" t="e">
        <f>AND(#REF!,"AAAAAH+desk=")</f>
        <v>#REF!</v>
      </c>
      <c r="GU14" t="e">
        <f>AND(#REF!,"AAAAAH+deso=")</f>
        <v>#REF!</v>
      </c>
      <c r="GV14" t="e">
        <f>AND(#REF!,"AAAAAH+dess=")</f>
        <v>#REF!</v>
      </c>
      <c r="GW14" t="e">
        <f>AND(#REF!,"AAAAAH+desw=")</f>
        <v>#REF!</v>
      </c>
      <c r="GX14" t="e">
        <f>AND(#REF!,"AAAAAH+des0=")</f>
        <v>#REF!</v>
      </c>
      <c r="GY14" t="e">
        <f>AND(#REF!,"AAAAAH+des4=")</f>
        <v>#REF!</v>
      </c>
      <c r="GZ14" t="e">
        <f>IF(#REF!,"AAAAAH+des8=",0)</f>
        <v>#REF!</v>
      </c>
      <c r="HA14" t="e">
        <f>AND(#REF!,"AAAAAH+detA=")</f>
        <v>#REF!</v>
      </c>
      <c r="HB14" t="e">
        <f>AND(#REF!,"AAAAAH+detE=")</f>
        <v>#REF!</v>
      </c>
      <c r="HC14" t="e">
        <f>AND(#REF!,"AAAAAH+detI=")</f>
        <v>#REF!</v>
      </c>
      <c r="HD14" t="e">
        <f>AND(#REF!,"AAAAAH+detM=")</f>
        <v>#REF!</v>
      </c>
      <c r="HE14" t="e">
        <f>AND(#REF!,"AAAAAH+detQ=")</f>
        <v>#REF!</v>
      </c>
      <c r="HF14" t="e">
        <f>AND(#REF!,"AAAAAH+detU=")</f>
        <v>#REF!</v>
      </c>
      <c r="HG14" t="e">
        <f>AND(#REF!,"AAAAAH+detY=")</f>
        <v>#REF!</v>
      </c>
      <c r="HH14" t="e">
        <f>AND(#REF!,"AAAAAH+detc=")</f>
        <v>#REF!</v>
      </c>
      <c r="HI14" t="e">
        <f>AND(#REF!,"AAAAAH+detg=")</f>
        <v>#REF!</v>
      </c>
      <c r="HJ14" t="e">
        <f>AND(#REF!,"AAAAAH+detk=")</f>
        <v>#REF!</v>
      </c>
      <c r="HK14" t="e">
        <f>AND(#REF!,"AAAAAH+deto=")</f>
        <v>#REF!</v>
      </c>
      <c r="HL14" t="e">
        <f>AND(#REF!,"AAAAAH+dets=")</f>
        <v>#REF!</v>
      </c>
      <c r="HM14" t="e">
        <f>AND(#REF!,"AAAAAH+detw=")</f>
        <v>#REF!</v>
      </c>
      <c r="HN14" t="e">
        <f>AND(#REF!,"AAAAAH+det0=")</f>
        <v>#REF!</v>
      </c>
      <c r="HO14" t="e">
        <f>AND(#REF!,"AAAAAH+det4=")</f>
        <v>#REF!</v>
      </c>
      <c r="HP14" t="e">
        <f>AND(#REF!,"AAAAAH+det8=")</f>
        <v>#REF!</v>
      </c>
      <c r="HQ14" t="e">
        <f>AND(#REF!,"AAAAAH+deuA=")</f>
        <v>#REF!</v>
      </c>
      <c r="HR14" t="e">
        <f>AND(#REF!,"AAAAAH+deuE=")</f>
        <v>#REF!</v>
      </c>
      <c r="HS14" t="e">
        <f>AND(#REF!,"AAAAAH+deuI=")</f>
        <v>#REF!</v>
      </c>
      <c r="HT14" t="e">
        <f>AND(#REF!,"AAAAAH+deuM=")</f>
        <v>#REF!</v>
      </c>
      <c r="HU14" t="e">
        <f>AND(#REF!,"AAAAAH+deuQ=")</f>
        <v>#REF!</v>
      </c>
      <c r="HV14" t="e">
        <f>AND(#REF!,"AAAAAH+deuU=")</f>
        <v>#REF!</v>
      </c>
      <c r="HW14" t="e">
        <f>AND(#REF!,"AAAAAH+deuY=")</f>
        <v>#REF!</v>
      </c>
      <c r="HX14" t="e">
        <f>AND(#REF!,"AAAAAH+deuc=")</f>
        <v>#REF!</v>
      </c>
      <c r="HY14" t="e">
        <f>AND(#REF!,"AAAAAH+deug=")</f>
        <v>#REF!</v>
      </c>
      <c r="HZ14" t="e">
        <f>AND(#REF!,"AAAAAH+deuk=")</f>
        <v>#REF!</v>
      </c>
      <c r="IA14" t="e">
        <f>IF(#REF!,"AAAAAH+deuo=",0)</f>
        <v>#REF!</v>
      </c>
      <c r="IB14" t="e">
        <f>AND(#REF!,"AAAAAH+deus=")</f>
        <v>#REF!</v>
      </c>
      <c r="IC14" t="e">
        <f>AND(#REF!,"AAAAAH+deuw=")</f>
        <v>#REF!</v>
      </c>
      <c r="ID14" t="e">
        <f>AND(#REF!,"AAAAAH+deu0=")</f>
        <v>#REF!</v>
      </c>
      <c r="IE14" t="e">
        <f>AND(#REF!,"AAAAAH+deu4=")</f>
        <v>#REF!</v>
      </c>
      <c r="IF14" t="e">
        <f>AND(#REF!,"AAAAAH+deu8=")</f>
        <v>#REF!</v>
      </c>
      <c r="IG14" t="e">
        <f>AND(#REF!,"AAAAAH+devA=")</f>
        <v>#REF!</v>
      </c>
      <c r="IH14" t="e">
        <f>AND(#REF!,"AAAAAH+devE=")</f>
        <v>#REF!</v>
      </c>
      <c r="II14" t="e">
        <f>AND(#REF!,"AAAAAH+devI=")</f>
        <v>#REF!</v>
      </c>
      <c r="IJ14" t="e">
        <f>AND(#REF!,"AAAAAH+devM=")</f>
        <v>#REF!</v>
      </c>
      <c r="IK14" t="e">
        <f>AND(#REF!,"AAAAAH+devQ=")</f>
        <v>#REF!</v>
      </c>
      <c r="IL14" t="e">
        <f>AND(#REF!,"AAAAAH+devU=")</f>
        <v>#REF!</v>
      </c>
      <c r="IM14" t="e">
        <f>AND(#REF!,"AAAAAH+devY=")</f>
        <v>#REF!</v>
      </c>
      <c r="IN14" t="e">
        <f>AND(#REF!,"AAAAAH+devc=")</f>
        <v>#REF!</v>
      </c>
      <c r="IO14" t="e">
        <f>AND(#REF!,"AAAAAH+devg=")</f>
        <v>#REF!</v>
      </c>
      <c r="IP14" t="e">
        <f>AND(#REF!,"AAAAAH+devk=")</f>
        <v>#REF!</v>
      </c>
      <c r="IQ14" t="e">
        <f>AND(#REF!,"AAAAAH+devo=")</f>
        <v>#REF!</v>
      </c>
      <c r="IR14" t="e">
        <f>AND(#REF!,"AAAAAH+devs=")</f>
        <v>#REF!</v>
      </c>
      <c r="IS14" t="e">
        <f>AND(#REF!,"AAAAAH+devw=")</f>
        <v>#REF!</v>
      </c>
      <c r="IT14" t="e">
        <f>AND(#REF!,"AAAAAH+dev0=")</f>
        <v>#REF!</v>
      </c>
      <c r="IU14" t="e">
        <f>AND(#REF!,"AAAAAH+dev4=")</f>
        <v>#REF!</v>
      </c>
      <c r="IV14" t="e">
        <f>AND(#REF!,"AAAAAH+dev8=")</f>
        <v>#REF!</v>
      </c>
    </row>
    <row r="15" spans="1:256" x14ac:dyDescent="0.2">
      <c r="A15" t="e">
        <f>AND(#REF!,"AAAAAE6L/wA=")</f>
        <v>#REF!</v>
      </c>
      <c r="B15" t="e">
        <f>AND(#REF!,"AAAAAE6L/wE=")</f>
        <v>#REF!</v>
      </c>
      <c r="C15" t="e">
        <f>AND(#REF!,"AAAAAE6L/wI=")</f>
        <v>#REF!</v>
      </c>
      <c r="D15" t="e">
        <f>AND(#REF!,"AAAAAE6L/wM=")</f>
        <v>#REF!</v>
      </c>
      <c r="E15" t="e">
        <f>AND(#REF!,"AAAAAE6L/wQ=")</f>
        <v>#REF!</v>
      </c>
      <c r="F15" t="e">
        <f>IF(#REF!,"AAAAAE6L/wU=",0)</f>
        <v>#REF!</v>
      </c>
      <c r="G15" t="e">
        <f>AND(#REF!,"AAAAAE6L/wY=")</f>
        <v>#REF!</v>
      </c>
      <c r="H15" t="e">
        <f>AND(#REF!,"AAAAAE6L/wc=")</f>
        <v>#REF!</v>
      </c>
      <c r="I15" t="e">
        <f>AND(#REF!,"AAAAAE6L/wg=")</f>
        <v>#REF!</v>
      </c>
      <c r="J15" t="e">
        <f>AND(#REF!,"AAAAAE6L/wk=")</f>
        <v>#REF!</v>
      </c>
      <c r="K15" t="e">
        <f>AND(#REF!,"AAAAAE6L/wo=")</f>
        <v>#REF!</v>
      </c>
      <c r="L15" t="e">
        <f>AND(#REF!,"AAAAAE6L/ws=")</f>
        <v>#REF!</v>
      </c>
      <c r="M15" t="e">
        <f>AND(#REF!,"AAAAAE6L/ww=")</f>
        <v>#REF!</v>
      </c>
      <c r="N15" t="e">
        <f>AND(#REF!,"AAAAAE6L/w0=")</f>
        <v>#REF!</v>
      </c>
      <c r="O15" t="e">
        <f>AND(#REF!,"AAAAAE6L/w4=")</f>
        <v>#REF!</v>
      </c>
      <c r="P15" t="e">
        <f>AND(#REF!,"AAAAAE6L/w8=")</f>
        <v>#REF!</v>
      </c>
      <c r="Q15" t="e">
        <f>AND(#REF!,"AAAAAE6L/xA=")</f>
        <v>#REF!</v>
      </c>
      <c r="R15" t="e">
        <f>AND(#REF!,"AAAAAE6L/xE=")</f>
        <v>#REF!</v>
      </c>
      <c r="S15" t="e">
        <f>AND(#REF!,"AAAAAE6L/xI=")</f>
        <v>#REF!</v>
      </c>
      <c r="T15" t="e">
        <f>AND(#REF!,"AAAAAE6L/xM=")</f>
        <v>#REF!</v>
      </c>
      <c r="U15" t="e">
        <f>AND(#REF!,"AAAAAE6L/xQ=")</f>
        <v>#REF!</v>
      </c>
      <c r="V15" t="e">
        <f>AND(#REF!,"AAAAAE6L/xU=")</f>
        <v>#REF!</v>
      </c>
      <c r="W15" t="e">
        <f>AND(#REF!,"AAAAAE6L/xY=")</f>
        <v>#REF!</v>
      </c>
      <c r="X15" t="e">
        <f>AND(#REF!,"AAAAAE6L/xc=")</f>
        <v>#REF!</v>
      </c>
      <c r="Y15" t="e">
        <f>AND(#REF!,"AAAAAE6L/xg=")</f>
        <v>#REF!</v>
      </c>
      <c r="Z15" t="e">
        <f>AND(#REF!,"AAAAAE6L/xk=")</f>
        <v>#REF!</v>
      </c>
      <c r="AA15" t="e">
        <f>AND(#REF!,"AAAAAE6L/xo=")</f>
        <v>#REF!</v>
      </c>
      <c r="AB15" t="e">
        <f>AND(#REF!,"AAAAAE6L/xs=")</f>
        <v>#REF!</v>
      </c>
      <c r="AC15" t="e">
        <f>AND(#REF!,"AAAAAE6L/xw=")</f>
        <v>#REF!</v>
      </c>
      <c r="AD15" t="e">
        <f>AND(#REF!,"AAAAAE6L/x0=")</f>
        <v>#REF!</v>
      </c>
      <c r="AE15" t="e">
        <f>AND(#REF!,"AAAAAE6L/x4=")</f>
        <v>#REF!</v>
      </c>
      <c r="AF15" t="e">
        <f>AND(#REF!,"AAAAAE6L/x8=")</f>
        <v>#REF!</v>
      </c>
      <c r="AG15" t="e">
        <f>IF(#REF!,"AAAAAE6L/yA=",0)</f>
        <v>#REF!</v>
      </c>
      <c r="AH15" t="e">
        <f>AND(#REF!,"AAAAAE6L/yE=")</f>
        <v>#REF!</v>
      </c>
      <c r="AI15" t="e">
        <f>AND(#REF!,"AAAAAE6L/yI=")</f>
        <v>#REF!</v>
      </c>
      <c r="AJ15" t="e">
        <f>AND(#REF!,"AAAAAE6L/yM=")</f>
        <v>#REF!</v>
      </c>
      <c r="AK15" t="e">
        <f>AND(#REF!,"AAAAAE6L/yQ=")</f>
        <v>#REF!</v>
      </c>
      <c r="AL15" t="e">
        <f>AND(#REF!,"AAAAAE6L/yU=")</f>
        <v>#REF!</v>
      </c>
      <c r="AM15" t="e">
        <f>AND(#REF!,"AAAAAE6L/yY=")</f>
        <v>#REF!</v>
      </c>
      <c r="AN15" t="e">
        <f>AND(#REF!,"AAAAAE6L/yc=")</f>
        <v>#REF!</v>
      </c>
      <c r="AO15" t="e">
        <f>AND(#REF!,"AAAAAE6L/yg=")</f>
        <v>#REF!</v>
      </c>
      <c r="AP15" t="e">
        <f>AND(#REF!,"AAAAAE6L/yk=")</f>
        <v>#REF!</v>
      </c>
      <c r="AQ15" t="e">
        <f>AND(#REF!,"AAAAAE6L/yo=")</f>
        <v>#REF!</v>
      </c>
      <c r="AR15" t="e">
        <f>AND(#REF!,"AAAAAE6L/ys=")</f>
        <v>#REF!</v>
      </c>
      <c r="AS15" t="e">
        <f>AND(#REF!,"AAAAAE6L/yw=")</f>
        <v>#REF!</v>
      </c>
      <c r="AT15" t="e">
        <f>AND(#REF!,"AAAAAE6L/y0=")</f>
        <v>#REF!</v>
      </c>
      <c r="AU15" t="e">
        <f>AND(#REF!,"AAAAAE6L/y4=")</f>
        <v>#REF!</v>
      </c>
      <c r="AV15" t="e">
        <f>AND(#REF!,"AAAAAE6L/y8=")</f>
        <v>#REF!</v>
      </c>
      <c r="AW15" t="e">
        <f>AND(#REF!,"AAAAAE6L/zA=")</f>
        <v>#REF!</v>
      </c>
      <c r="AX15" t="e">
        <f>AND(#REF!,"AAAAAE6L/zE=")</f>
        <v>#REF!</v>
      </c>
      <c r="AY15" t="e">
        <f>AND(#REF!,"AAAAAE6L/zI=")</f>
        <v>#REF!</v>
      </c>
      <c r="AZ15" t="e">
        <f>AND(#REF!,"AAAAAE6L/zM=")</f>
        <v>#REF!</v>
      </c>
      <c r="BA15" t="e">
        <f>AND(#REF!,"AAAAAE6L/zQ=")</f>
        <v>#REF!</v>
      </c>
      <c r="BB15" t="e">
        <f>AND(#REF!,"AAAAAE6L/zU=")</f>
        <v>#REF!</v>
      </c>
      <c r="BC15" t="e">
        <f>AND(#REF!,"AAAAAE6L/zY=")</f>
        <v>#REF!</v>
      </c>
      <c r="BD15" t="e">
        <f>AND(#REF!,"AAAAAE6L/zc=")</f>
        <v>#REF!</v>
      </c>
      <c r="BE15" t="e">
        <f>AND(#REF!,"AAAAAE6L/zg=")</f>
        <v>#REF!</v>
      </c>
      <c r="BF15" t="e">
        <f>AND(#REF!,"AAAAAE6L/zk=")</f>
        <v>#REF!</v>
      </c>
      <c r="BG15" t="e">
        <f>AND(#REF!,"AAAAAE6L/zo=")</f>
        <v>#REF!</v>
      </c>
      <c r="BH15" t="e">
        <f>IF(#REF!,"AAAAAE6L/zs=",0)</f>
        <v>#REF!</v>
      </c>
      <c r="BI15" t="e">
        <f>AND(#REF!,"AAAAAE6L/zw=")</f>
        <v>#REF!</v>
      </c>
      <c r="BJ15" t="e">
        <f>AND(#REF!,"AAAAAE6L/z0=")</f>
        <v>#REF!</v>
      </c>
      <c r="BK15" t="e">
        <f>AND(#REF!,"AAAAAE6L/z4=")</f>
        <v>#REF!</v>
      </c>
      <c r="BL15" t="e">
        <f>AND(#REF!,"AAAAAE6L/z8=")</f>
        <v>#REF!</v>
      </c>
      <c r="BM15" t="e">
        <f>AND(#REF!,"AAAAAE6L/0A=")</f>
        <v>#REF!</v>
      </c>
      <c r="BN15" t="e">
        <f>AND(#REF!,"AAAAAE6L/0E=")</f>
        <v>#REF!</v>
      </c>
      <c r="BO15" t="e">
        <f>AND(#REF!,"AAAAAE6L/0I=")</f>
        <v>#REF!</v>
      </c>
      <c r="BP15" t="e">
        <f>AND(#REF!,"AAAAAE6L/0M=")</f>
        <v>#REF!</v>
      </c>
      <c r="BQ15" t="e">
        <f>AND(#REF!,"AAAAAE6L/0Q=")</f>
        <v>#REF!</v>
      </c>
      <c r="BR15" t="e">
        <f>AND(#REF!,"AAAAAE6L/0U=")</f>
        <v>#REF!</v>
      </c>
      <c r="BS15" t="e">
        <f>AND(#REF!,"AAAAAE6L/0Y=")</f>
        <v>#REF!</v>
      </c>
      <c r="BT15" t="e">
        <f>AND(#REF!,"AAAAAE6L/0c=")</f>
        <v>#REF!</v>
      </c>
      <c r="BU15" t="e">
        <f>AND(#REF!,"AAAAAE6L/0g=")</f>
        <v>#REF!</v>
      </c>
      <c r="BV15" t="e">
        <f>AND(#REF!,"AAAAAE6L/0k=")</f>
        <v>#REF!</v>
      </c>
      <c r="BW15" t="e">
        <f>AND(#REF!,"AAAAAE6L/0o=")</f>
        <v>#REF!</v>
      </c>
      <c r="BX15" t="e">
        <f>AND(#REF!,"AAAAAE6L/0s=")</f>
        <v>#REF!</v>
      </c>
      <c r="BY15" t="e">
        <f>AND(#REF!,"AAAAAE6L/0w=")</f>
        <v>#REF!</v>
      </c>
      <c r="BZ15" t="e">
        <f>AND(#REF!,"AAAAAE6L/00=")</f>
        <v>#REF!</v>
      </c>
      <c r="CA15" t="e">
        <f>AND(#REF!,"AAAAAE6L/04=")</f>
        <v>#REF!</v>
      </c>
      <c r="CB15" t="e">
        <f>AND(#REF!,"AAAAAE6L/08=")</f>
        <v>#REF!</v>
      </c>
      <c r="CC15" t="e">
        <f>AND(#REF!,"AAAAAE6L/1A=")</f>
        <v>#REF!</v>
      </c>
      <c r="CD15" t="e">
        <f>AND(#REF!,"AAAAAE6L/1E=")</f>
        <v>#REF!</v>
      </c>
      <c r="CE15" t="e">
        <f>AND(#REF!,"AAAAAE6L/1I=")</f>
        <v>#REF!</v>
      </c>
      <c r="CF15" t="e">
        <f>AND(#REF!,"AAAAAE6L/1M=")</f>
        <v>#REF!</v>
      </c>
      <c r="CG15" t="e">
        <f>AND(#REF!,"AAAAAE6L/1Q=")</f>
        <v>#REF!</v>
      </c>
      <c r="CH15" t="e">
        <f>AND(#REF!,"AAAAAE6L/1U=")</f>
        <v>#REF!</v>
      </c>
      <c r="CI15" t="e">
        <f>IF(#REF!,"AAAAAE6L/1Y=",0)</f>
        <v>#REF!</v>
      </c>
      <c r="CJ15" t="e">
        <f>AND(#REF!,"AAAAAE6L/1c=")</f>
        <v>#REF!</v>
      </c>
      <c r="CK15" t="e">
        <f>AND(#REF!,"AAAAAE6L/1g=")</f>
        <v>#REF!</v>
      </c>
      <c r="CL15" t="e">
        <f>AND(#REF!,"AAAAAE6L/1k=")</f>
        <v>#REF!</v>
      </c>
      <c r="CM15" t="e">
        <f>AND(#REF!,"AAAAAE6L/1o=")</f>
        <v>#REF!</v>
      </c>
      <c r="CN15" t="e">
        <f>AND(#REF!,"AAAAAE6L/1s=")</f>
        <v>#REF!</v>
      </c>
      <c r="CO15" t="e">
        <f>AND(#REF!,"AAAAAE6L/1w=")</f>
        <v>#REF!</v>
      </c>
      <c r="CP15" t="e">
        <f>AND(#REF!,"AAAAAE6L/10=")</f>
        <v>#REF!</v>
      </c>
      <c r="CQ15" t="e">
        <f>AND(#REF!,"AAAAAE6L/14=")</f>
        <v>#REF!</v>
      </c>
      <c r="CR15" t="e">
        <f>AND(#REF!,"AAAAAE6L/18=")</f>
        <v>#REF!</v>
      </c>
      <c r="CS15" t="e">
        <f>AND(#REF!,"AAAAAE6L/2A=")</f>
        <v>#REF!</v>
      </c>
      <c r="CT15" t="e">
        <f>AND(#REF!,"AAAAAE6L/2E=")</f>
        <v>#REF!</v>
      </c>
      <c r="CU15" t="e">
        <f>AND(#REF!,"AAAAAE6L/2I=")</f>
        <v>#REF!</v>
      </c>
      <c r="CV15" t="e">
        <f>AND(#REF!,"AAAAAE6L/2M=")</f>
        <v>#REF!</v>
      </c>
      <c r="CW15" t="e">
        <f>AND(#REF!,"AAAAAE6L/2Q=")</f>
        <v>#REF!</v>
      </c>
      <c r="CX15" t="e">
        <f>AND(#REF!,"AAAAAE6L/2U=")</f>
        <v>#REF!</v>
      </c>
      <c r="CY15" t="e">
        <f>AND(#REF!,"AAAAAE6L/2Y=")</f>
        <v>#REF!</v>
      </c>
      <c r="CZ15" t="e">
        <f>AND(#REF!,"AAAAAE6L/2c=")</f>
        <v>#REF!</v>
      </c>
      <c r="DA15" t="e">
        <f>AND(#REF!,"AAAAAE6L/2g=")</f>
        <v>#REF!</v>
      </c>
      <c r="DB15" t="e">
        <f>AND(#REF!,"AAAAAE6L/2k=")</f>
        <v>#REF!</v>
      </c>
      <c r="DC15" t="e">
        <f>AND(#REF!,"AAAAAE6L/2o=")</f>
        <v>#REF!</v>
      </c>
      <c r="DD15" t="e">
        <f>AND(#REF!,"AAAAAE6L/2s=")</f>
        <v>#REF!</v>
      </c>
      <c r="DE15" t="e">
        <f>AND(#REF!,"AAAAAE6L/2w=")</f>
        <v>#REF!</v>
      </c>
      <c r="DF15" t="e">
        <f>AND(#REF!,"AAAAAE6L/20=")</f>
        <v>#REF!</v>
      </c>
      <c r="DG15" t="e">
        <f>AND(#REF!,"AAAAAE6L/24=")</f>
        <v>#REF!</v>
      </c>
      <c r="DH15" t="e">
        <f>AND(#REF!,"AAAAAE6L/28=")</f>
        <v>#REF!</v>
      </c>
      <c r="DI15" t="e">
        <f>AND(#REF!,"AAAAAE6L/3A=")</f>
        <v>#REF!</v>
      </c>
      <c r="DJ15" t="e">
        <f>IF(#REF!,"AAAAAE6L/3E=",0)</f>
        <v>#REF!</v>
      </c>
      <c r="DK15" t="e">
        <f>AND(#REF!,"AAAAAE6L/3I=")</f>
        <v>#REF!</v>
      </c>
      <c r="DL15" t="e">
        <f>AND(#REF!,"AAAAAE6L/3M=")</f>
        <v>#REF!</v>
      </c>
      <c r="DM15" t="e">
        <f>AND(#REF!,"AAAAAE6L/3Q=")</f>
        <v>#REF!</v>
      </c>
      <c r="DN15" t="e">
        <f>AND(#REF!,"AAAAAE6L/3U=")</f>
        <v>#REF!</v>
      </c>
      <c r="DO15" t="e">
        <f>AND(#REF!,"AAAAAE6L/3Y=")</f>
        <v>#REF!</v>
      </c>
      <c r="DP15" t="e">
        <f>AND(#REF!,"AAAAAE6L/3c=")</f>
        <v>#REF!</v>
      </c>
      <c r="DQ15" t="e">
        <f>AND(#REF!,"AAAAAE6L/3g=")</f>
        <v>#REF!</v>
      </c>
      <c r="DR15" t="e">
        <f>AND(#REF!,"AAAAAE6L/3k=")</f>
        <v>#REF!</v>
      </c>
      <c r="DS15" t="e">
        <f>AND(#REF!,"AAAAAE6L/3o=")</f>
        <v>#REF!</v>
      </c>
      <c r="DT15" t="e">
        <f>AND(#REF!,"AAAAAE6L/3s=")</f>
        <v>#REF!</v>
      </c>
      <c r="DU15" t="e">
        <f>AND(#REF!,"AAAAAE6L/3w=")</f>
        <v>#REF!</v>
      </c>
      <c r="DV15" t="e">
        <f>AND(#REF!,"AAAAAE6L/30=")</f>
        <v>#REF!</v>
      </c>
      <c r="DW15" t="e">
        <f>AND(#REF!,"AAAAAE6L/34=")</f>
        <v>#REF!</v>
      </c>
      <c r="DX15" t="e">
        <f>AND(#REF!,"AAAAAE6L/38=")</f>
        <v>#REF!</v>
      </c>
      <c r="DY15" t="e">
        <f>AND(#REF!,"AAAAAE6L/4A=")</f>
        <v>#REF!</v>
      </c>
      <c r="DZ15" t="e">
        <f>AND(#REF!,"AAAAAE6L/4E=")</f>
        <v>#REF!</v>
      </c>
      <c r="EA15" t="e">
        <f>AND(#REF!,"AAAAAE6L/4I=")</f>
        <v>#REF!</v>
      </c>
      <c r="EB15" t="e">
        <f>AND(#REF!,"AAAAAE6L/4M=")</f>
        <v>#REF!</v>
      </c>
      <c r="EC15" t="e">
        <f>AND(#REF!,"AAAAAE6L/4Q=")</f>
        <v>#REF!</v>
      </c>
      <c r="ED15" t="e">
        <f>AND(#REF!,"AAAAAE6L/4U=")</f>
        <v>#REF!</v>
      </c>
      <c r="EE15" t="e">
        <f>AND(#REF!,"AAAAAE6L/4Y=")</f>
        <v>#REF!</v>
      </c>
      <c r="EF15" t="e">
        <f>AND(#REF!,"AAAAAE6L/4c=")</f>
        <v>#REF!</v>
      </c>
      <c r="EG15" t="e">
        <f>AND(#REF!,"AAAAAE6L/4g=")</f>
        <v>#REF!</v>
      </c>
      <c r="EH15" t="e">
        <f>AND(#REF!,"AAAAAE6L/4k=")</f>
        <v>#REF!</v>
      </c>
      <c r="EI15" t="e">
        <f>AND(#REF!,"AAAAAE6L/4o=")</f>
        <v>#REF!</v>
      </c>
      <c r="EJ15" t="e">
        <f>AND(#REF!,"AAAAAE6L/4s=")</f>
        <v>#REF!</v>
      </c>
      <c r="EK15" t="e">
        <f>IF(#REF!,"AAAAAE6L/4w=",0)</f>
        <v>#REF!</v>
      </c>
      <c r="EL15" t="e">
        <f>AND(#REF!,"AAAAAE6L/40=")</f>
        <v>#REF!</v>
      </c>
      <c r="EM15" t="e">
        <f>AND(#REF!,"AAAAAE6L/44=")</f>
        <v>#REF!</v>
      </c>
      <c r="EN15" t="e">
        <f>AND(#REF!,"AAAAAE6L/48=")</f>
        <v>#REF!</v>
      </c>
      <c r="EO15" t="e">
        <f>AND(#REF!,"AAAAAE6L/5A=")</f>
        <v>#REF!</v>
      </c>
      <c r="EP15" t="e">
        <f>AND(#REF!,"AAAAAE6L/5E=")</f>
        <v>#REF!</v>
      </c>
      <c r="EQ15" t="e">
        <f>AND(#REF!,"AAAAAE6L/5I=")</f>
        <v>#REF!</v>
      </c>
      <c r="ER15" t="e">
        <f>AND(#REF!,"AAAAAE6L/5M=")</f>
        <v>#REF!</v>
      </c>
      <c r="ES15" t="e">
        <f>AND(#REF!,"AAAAAE6L/5Q=")</f>
        <v>#REF!</v>
      </c>
      <c r="ET15" t="e">
        <f>AND(#REF!,"AAAAAE6L/5U=")</f>
        <v>#REF!</v>
      </c>
      <c r="EU15" t="e">
        <f>AND(#REF!,"AAAAAE6L/5Y=")</f>
        <v>#REF!</v>
      </c>
      <c r="EV15" t="e">
        <f>AND(#REF!,"AAAAAE6L/5c=")</f>
        <v>#REF!</v>
      </c>
      <c r="EW15" t="e">
        <f>AND(#REF!,"AAAAAE6L/5g=")</f>
        <v>#REF!</v>
      </c>
      <c r="EX15" t="e">
        <f>AND(#REF!,"AAAAAE6L/5k=")</f>
        <v>#REF!</v>
      </c>
      <c r="EY15" t="e">
        <f>AND(#REF!,"AAAAAE6L/5o=")</f>
        <v>#REF!</v>
      </c>
      <c r="EZ15" t="e">
        <f>AND(#REF!,"AAAAAE6L/5s=")</f>
        <v>#REF!</v>
      </c>
      <c r="FA15" t="e">
        <f>AND(#REF!,"AAAAAE6L/5w=")</f>
        <v>#REF!</v>
      </c>
      <c r="FB15" t="e">
        <f>AND(#REF!,"AAAAAE6L/50=")</f>
        <v>#REF!</v>
      </c>
      <c r="FC15" t="e">
        <f>AND(#REF!,"AAAAAE6L/54=")</f>
        <v>#REF!</v>
      </c>
      <c r="FD15" t="e">
        <f>AND(#REF!,"AAAAAE6L/58=")</f>
        <v>#REF!</v>
      </c>
      <c r="FE15" t="e">
        <f>AND(#REF!,"AAAAAE6L/6A=")</f>
        <v>#REF!</v>
      </c>
      <c r="FF15" t="e">
        <f>AND(#REF!,"AAAAAE6L/6E=")</f>
        <v>#REF!</v>
      </c>
      <c r="FG15" t="e">
        <f>AND(#REF!,"AAAAAE6L/6I=")</f>
        <v>#REF!</v>
      </c>
      <c r="FH15" t="e">
        <f>AND(#REF!,"AAAAAE6L/6M=")</f>
        <v>#REF!</v>
      </c>
      <c r="FI15" t="e">
        <f>AND(#REF!,"AAAAAE6L/6Q=")</f>
        <v>#REF!</v>
      </c>
      <c r="FJ15" t="e">
        <f>AND(#REF!,"AAAAAE6L/6U=")</f>
        <v>#REF!</v>
      </c>
      <c r="FK15" t="e">
        <f>AND(#REF!,"AAAAAE6L/6Y=")</f>
        <v>#REF!</v>
      </c>
      <c r="FL15" t="e">
        <f>IF(#REF!,"AAAAAE6L/6c=",0)</f>
        <v>#REF!</v>
      </c>
      <c r="FM15" t="e">
        <f>AND(#REF!,"AAAAAE6L/6g=")</f>
        <v>#REF!</v>
      </c>
      <c r="FN15" t="e">
        <f>AND(#REF!,"AAAAAE6L/6k=")</f>
        <v>#REF!</v>
      </c>
      <c r="FO15" t="e">
        <f>AND(#REF!,"AAAAAE6L/6o=")</f>
        <v>#REF!</v>
      </c>
      <c r="FP15" t="e">
        <f>AND(#REF!,"AAAAAE6L/6s=")</f>
        <v>#REF!</v>
      </c>
      <c r="FQ15" t="e">
        <f>AND(#REF!,"AAAAAE6L/6w=")</f>
        <v>#REF!</v>
      </c>
      <c r="FR15" t="e">
        <f>AND(#REF!,"AAAAAE6L/60=")</f>
        <v>#REF!</v>
      </c>
      <c r="FS15" t="e">
        <f>AND(#REF!,"AAAAAE6L/64=")</f>
        <v>#REF!</v>
      </c>
      <c r="FT15" t="e">
        <f>AND(#REF!,"AAAAAE6L/68=")</f>
        <v>#REF!</v>
      </c>
      <c r="FU15" t="e">
        <f>AND(#REF!,"AAAAAE6L/7A=")</f>
        <v>#REF!</v>
      </c>
      <c r="FV15" t="e">
        <f>AND(#REF!,"AAAAAE6L/7E=")</f>
        <v>#REF!</v>
      </c>
      <c r="FW15" t="e">
        <f>AND(#REF!,"AAAAAE6L/7I=")</f>
        <v>#REF!</v>
      </c>
      <c r="FX15" t="e">
        <f>AND(#REF!,"AAAAAE6L/7M=")</f>
        <v>#REF!</v>
      </c>
      <c r="FY15" t="e">
        <f>AND(#REF!,"AAAAAE6L/7Q=")</f>
        <v>#REF!</v>
      </c>
      <c r="FZ15" t="e">
        <f>AND(#REF!,"AAAAAE6L/7U=")</f>
        <v>#REF!</v>
      </c>
      <c r="GA15" t="e">
        <f>AND(#REF!,"AAAAAE6L/7Y=")</f>
        <v>#REF!</v>
      </c>
      <c r="GB15" t="e">
        <f>AND(#REF!,"AAAAAE6L/7c=")</f>
        <v>#REF!</v>
      </c>
      <c r="GC15" t="e">
        <f>AND(#REF!,"AAAAAE6L/7g=")</f>
        <v>#REF!</v>
      </c>
      <c r="GD15" t="e">
        <f>AND(#REF!,"AAAAAE6L/7k=")</f>
        <v>#REF!</v>
      </c>
      <c r="GE15" t="e">
        <f>AND(#REF!,"AAAAAE6L/7o=")</f>
        <v>#REF!</v>
      </c>
      <c r="GF15" t="e">
        <f>AND(#REF!,"AAAAAE6L/7s=")</f>
        <v>#REF!</v>
      </c>
      <c r="GG15" t="e">
        <f>AND(#REF!,"AAAAAE6L/7w=")</f>
        <v>#REF!</v>
      </c>
      <c r="GH15" t="e">
        <f>AND(#REF!,"AAAAAE6L/70=")</f>
        <v>#REF!</v>
      </c>
      <c r="GI15" t="e">
        <f>AND(#REF!,"AAAAAE6L/74=")</f>
        <v>#REF!</v>
      </c>
      <c r="GJ15" t="e">
        <f>AND(#REF!,"AAAAAE6L/78=")</f>
        <v>#REF!</v>
      </c>
      <c r="GK15" t="e">
        <f>AND(#REF!,"AAAAAE6L/8A=")</f>
        <v>#REF!</v>
      </c>
      <c r="GL15" t="e">
        <f>AND(#REF!,"AAAAAE6L/8E=")</f>
        <v>#REF!</v>
      </c>
      <c r="GM15" t="e">
        <f>IF(#REF!,"AAAAAE6L/8I=",0)</f>
        <v>#REF!</v>
      </c>
      <c r="GN15" t="e">
        <f>AND(#REF!,"AAAAAE6L/8M=")</f>
        <v>#REF!</v>
      </c>
      <c r="GO15" t="e">
        <f>AND(#REF!,"AAAAAE6L/8Q=")</f>
        <v>#REF!</v>
      </c>
      <c r="GP15" t="e">
        <f>AND(#REF!,"AAAAAE6L/8U=")</f>
        <v>#REF!</v>
      </c>
      <c r="GQ15" t="e">
        <f>AND(#REF!,"AAAAAE6L/8Y=")</f>
        <v>#REF!</v>
      </c>
      <c r="GR15" t="e">
        <f>AND(#REF!,"AAAAAE6L/8c=")</f>
        <v>#REF!</v>
      </c>
      <c r="GS15" t="e">
        <f>AND(#REF!,"AAAAAE6L/8g=")</f>
        <v>#REF!</v>
      </c>
      <c r="GT15" t="e">
        <f>AND(#REF!,"AAAAAE6L/8k=")</f>
        <v>#REF!</v>
      </c>
      <c r="GU15" t="e">
        <f>AND(#REF!,"AAAAAE6L/8o=")</f>
        <v>#REF!</v>
      </c>
      <c r="GV15" t="e">
        <f>AND(#REF!,"AAAAAE6L/8s=")</f>
        <v>#REF!</v>
      </c>
      <c r="GW15" t="e">
        <f>AND(#REF!,"AAAAAE6L/8w=")</f>
        <v>#REF!</v>
      </c>
      <c r="GX15" t="e">
        <f>AND(#REF!,"AAAAAE6L/80=")</f>
        <v>#REF!</v>
      </c>
      <c r="GY15" t="e">
        <f>AND(#REF!,"AAAAAE6L/84=")</f>
        <v>#REF!</v>
      </c>
      <c r="GZ15" t="e">
        <f>AND(#REF!,"AAAAAE6L/88=")</f>
        <v>#REF!</v>
      </c>
      <c r="HA15" t="e">
        <f>AND(#REF!,"AAAAAE6L/9A=")</f>
        <v>#REF!</v>
      </c>
      <c r="HB15" t="e">
        <f>AND(#REF!,"AAAAAE6L/9E=")</f>
        <v>#REF!</v>
      </c>
      <c r="HC15" t="e">
        <f>AND(#REF!,"AAAAAE6L/9I=")</f>
        <v>#REF!</v>
      </c>
      <c r="HD15" t="e">
        <f>AND(#REF!,"AAAAAE6L/9M=")</f>
        <v>#REF!</v>
      </c>
      <c r="HE15" t="e">
        <f>AND(#REF!,"AAAAAE6L/9Q=")</f>
        <v>#REF!</v>
      </c>
      <c r="HF15" t="e">
        <f>AND(#REF!,"AAAAAE6L/9U=")</f>
        <v>#REF!</v>
      </c>
      <c r="HG15" t="e">
        <f>AND(#REF!,"AAAAAE6L/9Y=")</f>
        <v>#REF!</v>
      </c>
      <c r="HH15" t="e">
        <f>AND(#REF!,"AAAAAE6L/9c=")</f>
        <v>#REF!</v>
      </c>
      <c r="HI15" t="e">
        <f>AND(#REF!,"AAAAAE6L/9g=")</f>
        <v>#REF!</v>
      </c>
      <c r="HJ15" t="e">
        <f>AND(#REF!,"AAAAAE6L/9k=")</f>
        <v>#REF!</v>
      </c>
      <c r="HK15" t="e">
        <f>AND(#REF!,"AAAAAE6L/9o=")</f>
        <v>#REF!</v>
      </c>
      <c r="HL15" t="e">
        <f>AND(#REF!,"AAAAAE6L/9s=")</f>
        <v>#REF!</v>
      </c>
      <c r="HM15" t="e">
        <f>AND(#REF!,"AAAAAE6L/9w=")</f>
        <v>#REF!</v>
      </c>
      <c r="HN15" t="e">
        <f>IF(#REF!,"AAAAAE6L/90=",0)</f>
        <v>#REF!</v>
      </c>
      <c r="HO15" t="e">
        <f>AND(#REF!,"AAAAAE6L/94=")</f>
        <v>#REF!</v>
      </c>
      <c r="HP15" t="e">
        <f>AND(#REF!,"AAAAAE6L/98=")</f>
        <v>#REF!</v>
      </c>
      <c r="HQ15" t="e">
        <f>AND(#REF!,"AAAAAE6L/+A=")</f>
        <v>#REF!</v>
      </c>
      <c r="HR15" t="e">
        <f>AND(#REF!,"AAAAAE6L/+E=")</f>
        <v>#REF!</v>
      </c>
      <c r="HS15" t="e">
        <f>AND(#REF!,"AAAAAE6L/+I=")</f>
        <v>#REF!</v>
      </c>
      <c r="HT15" t="e">
        <f>AND(#REF!,"AAAAAE6L/+M=")</f>
        <v>#REF!</v>
      </c>
      <c r="HU15" t="e">
        <f>AND(#REF!,"AAAAAE6L/+Q=")</f>
        <v>#REF!</v>
      </c>
      <c r="HV15" t="e">
        <f>AND(#REF!,"AAAAAE6L/+U=")</f>
        <v>#REF!</v>
      </c>
      <c r="HW15" t="e">
        <f>AND(#REF!,"AAAAAE6L/+Y=")</f>
        <v>#REF!</v>
      </c>
      <c r="HX15" t="e">
        <f>AND(#REF!,"AAAAAE6L/+c=")</f>
        <v>#REF!</v>
      </c>
      <c r="HY15" t="e">
        <f>AND(#REF!,"AAAAAE6L/+g=")</f>
        <v>#REF!</v>
      </c>
      <c r="HZ15" t="e">
        <f>AND(#REF!,"AAAAAE6L/+k=")</f>
        <v>#REF!</v>
      </c>
      <c r="IA15" t="e">
        <f>AND(#REF!,"AAAAAE6L/+o=")</f>
        <v>#REF!</v>
      </c>
      <c r="IB15" t="e">
        <f>AND(#REF!,"AAAAAE6L/+s=")</f>
        <v>#REF!</v>
      </c>
      <c r="IC15" t="e">
        <f>AND(#REF!,"AAAAAE6L/+w=")</f>
        <v>#REF!</v>
      </c>
      <c r="ID15" t="e">
        <f>AND(#REF!,"AAAAAE6L/+0=")</f>
        <v>#REF!</v>
      </c>
      <c r="IE15" t="e">
        <f>AND(#REF!,"AAAAAE6L/+4=")</f>
        <v>#REF!</v>
      </c>
      <c r="IF15" t="e">
        <f>AND(#REF!,"AAAAAE6L/+8=")</f>
        <v>#REF!</v>
      </c>
      <c r="IG15" t="e">
        <f>AND(#REF!,"AAAAAE6L//A=")</f>
        <v>#REF!</v>
      </c>
      <c r="IH15" t="e">
        <f>AND(#REF!,"AAAAAE6L//E=")</f>
        <v>#REF!</v>
      </c>
      <c r="II15" t="e">
        <f>AND(#REF!,"AAAAAE6L//I=")</f>
        <v>#REF!</v>
      </c>
      <c r="IJ15" t="e">
        <f>AND(#REF!,"AAAAAE6L//M=")</f>
        <v>#REF!</v>
      </c>
      <c r="IK15" t="e">
        <f>AND(#REF!,"AAAAAE6L//Q=")</f>
        <v>#REF!</v>
      </c>
      <c r="IL15" t="e">
        <f>AND(#REF!,"AAAAAE6L//U=")</f>
        <v>#REF!</v>
      </c>
      <c r="IM15" t="e">
        <f>AND(#REF!,"AAAAAE6L//Y=")</f>
        <v>#REF!</v>
      </c>
      <c r="IN15" t="e">
        <f>AND(#REF!,"AAAAAE6L//c=")</f>
        <v>#REF!</v>
      </c>
      <c r="IO15" t="e">
        <f>IF(#REF!,"AAAAAE6L//g=",0)</f>
        <v>#REF!</v>
      </c>
      <c r="IP15" t="e">
        <f>AND(#REF!,"AAAAAE6L//k=")</f>
        <v>#REF!</v>
      </c>
      <c r="IQ15" t="e">
        <f>AND(#REF!,"AAAAAE6L//o=")</f>
        <v>#REF!</v>
      </c>
      <c r="IR15" t="e">
        <f>AND(#REF!,"AAAAAE6L//s=")</f>
        <v>#REF!</v>
      </c>
      <c r="IS15" t="e">
        <f>AND(#REF!,"AAAAAE6L//w=")</f>
        <v>#REF!</v>
      </c>
      <c r="IT15" t="e">
        <f>AND(#REF!,"AAAAAE6L//0=")</f>
        <v>#REF!</v>
      </c>
      <c r="IU15" t="e">
        <f>AND(#REF!,"AAAAAE6L//4=")</f>
        <v>#REF!</v>
      </c>
      <c r="IV15" t="e">
        <f>AND(#REF!,"AAAAAE6L//8=")</f>
        <v>#REF!</v>
      </c>
    </row>
    <row r="16" spans="1:256" x14ac:dyDescent="0.2">
      <c r="A16" t="e">
        <f>AND(#REF!,"AAAAAH/L9QA=")</f>
        <v>#REF!</v>
      </c>
      <c r="B16" t="e">
        <f>AND(#REF!,"AAAAAH/L9QE=")</f>
        <v>#REF!</v>
      </c>
      <c r="C16" t="e">
        <f>AND(#REF!,"AAAAAH/L9QI=")</f>
        <v>#REF!</v>
      </c>
      <c r="D16" t="e">
        <f>AND(#REF!,"AAAAAH/L9QM=")</f>
        <v>#REF!</v>
      </c>
      <c r="E16" t="e">
        <f>AND(#REF!,"AAAAAH/L9QQ=")</f>
        <v>#REF!</v>
      </c>
      <c r="F16" t="e">
        <f>AND(#REF!,"AAAAAH/L9QU=")</f>
        <v>#REF!</v>
      </c>
      <c r="G16" t="e">
        <f>AND(#REF!,"AAAAAH/L9QY=")</f>
        <v>#REF!</v>
      </c>
      <c r="H16" t="e">
        <f>AND(#REF!,"AAAAAH/L9Qc=")</f>
        <v>#REF!</v>
      </c>
      <c r="I16" t="e">
        <f>AND(#REF!,"AAAAAH/L9Qg=")</f>
        <v>#REF!</v>
      </c>
      <c r="J16" t="e">
        <f>AND(#REF!,"AAAAAH/L9Qk=")</f>
        <v>#REF!</v>
      </c>
      <c r="K16" t="e">
        <f>AND(#REF!,"AAAAAH/L9Qo=")</f>
        <v>#REF!</v>
      </c>
      <c r="L16" t="e">
        <f>AND(#REF!,"AAAAAH/L9Qs=")</f>
        <v>#REF!</v>
      </c>
      <c r="M16" t="e">
        <f>AND(#REF!,"AAAAAH/L9Qw=")</f>
        <v>#REF!</v>
      </c>
      <c r="N16" t="e">
        <f>AND(#REF!,"AAAAAH/L9Q0=")</f>
        <v>#REF!</v>
      </c>
      <c r="O16" t="e">
        <f>AND(#REF!,"AAAAAH/L9Q4=")</f>
        <v>#REF!</v>
      </c>
      <c r="P16" t="e">
        <f>AND(#REF!,"AAAAAH/L9Q8=")</f>
        <v>#REF!</v>
      </c>
      <c r="Q16" t="e">
        <f>AND(#REF!,"AAAAAH/L9RA=")</f>
        <v>#REF!</v>
      </c>
      <c r="R16" t="e">
        <f>AND(#REF!,"AAAAAH/L9RE=")</f>
        <v>#REF!</v>
      </c>
      <c r="S16" t="e">
        <f>AND(#REF!,"AAAAAH/L9RI=")</f>
        <v>#REF!</v>
      </c>
      <c r="T16" t="e">
        <f>IF(#REF!,"AAAAAH/L9RM=",0)</f>
        <v>#REF!</v>
      </c>
      <c r="U16" t="e">
        <f>AND(#REF!,"AAAAAH/L9RQ=")</f>
        <v>#REF!</v>
      </c>
      <c r="V16" t="e">
        <f>AND(#REF!,"AAAAAH/L9RU=")</f>
        <v>#REF!</v>
      </c>
      <c r="W16" t="e">
        <f>AND(#REF!,"AAAAAH/L9RY=")</f>
        <v>#REF!</v>
      </c>
      <c r="X16" t="e">
        <f>AND(#REF!,"AAAAAH/L9Rc=")</f>
        <v>#REF!</v>
      </c>
      <c r="Y16" t="e">
        <f>AND(#REF!,"AAAAAH/L9Rg=")</f>
        <v>#REF!</v>
      </c>
      <c r="Z16" t="e">
        <f>AND(#REF!,"AAAAAH/L9Rk=")</f>
        <v>#REF!</v>
      </c>
      <c r="AA16" t="e">
        <f>AND(#REF!,"AAAAAH/L9Ro=")</f>
        <v>#REF!</v>
      </c>
      <c r="AB16" t="e">
        <f>AND(#REF!,"AAAAAH/L9Rs=")</f>
        <v>#REF!</v>
      </c>
      <c r="AC16" t="e">
        <f>AND(#REF!,"AAAAAH/L9Rw=")</f>
        <v>#REF!</v>
      </c>
      <c r="AD16" t="e">
        <f>AND(#REF!,"AAAAAH/L9R0=")</f>
        <v>#REF!</v>
      </c>
      <c r="AE16" t="e">
        <f>AND(#REF!,"AAAAAH/L9R4=")</f>
        <v>#REF!</v>
      </c>
      <c r="AF16" t="e">
        <f>AND(#REF!,"AAAAAH/L9R8=")</f>
        <v>#REF!</v>
      </c>
      <c r="AG16" t="e">
        <f>AND(#REF!,"AAAAAH/L9SA=")</f>
        <v>#REF!</v>
      </c>
      <c r="AH16" t="e">
        <f>AND(#REF!,"AAAAAH/L9SE=")</f>
        <v>#REF!</v>
      </c>
      <c r="AI16" t="e">
        <f>AND(#REF!,"AAAAAH/L9SI=")</f>
        <v>#REF!</v>
      </c>
      <c r="AJ16" t="e">
        <f>AND(#REF!,"AAAAAH/L9SM=")</f>
        <v>#REF!</v>
      </c>
      <c r="AK16" t="e">
        <f>AND(#REF!,"AAAAAH/L9SQ=")</f>
        <v>#REF!</v>
      </c>
      <c r="AL16" t="e">
        <f>AND(#REF!,"AAAAAH/L9SU=")</f>
        <v>#REF!</v>
      </c>
      <c r="AM16" t="e">
        <f>AND(#REF!,"AAAAAH/L9SY=")</f>
        <v>#REF!</v>
      </c>
      <c r="AN16" t="e">
        <f>AND(#REF!,"AAAAAH/L9Sc=")</f>
        <v>#REF!</v>
      </c>
      <c r="AO16" t="e">
        <f>AND(#REF!,"AAAAAH/L9Sg=")</f>
        <v>#REF!</v>
      </c>
      <c r="AP16" t="e">
        <f>AND(#REF!,"AAAAAH/L9Sk=")</f>
        <v>#REF!</v>
      </c>
      <c r="AQ16" t="e">
        <f>AND(#REF!,"AAAAAH/L9So=")</f>
        <v>#REF!</v>
      </c>
      <c r="AR16" t="e">
        <f>AND(#REF!,"AAAAAH/L9Ss=")</f>
        <v>#REF!</v>
      </c>
      <c r="AS16" t="e">
        <f>AND(#REF!,"AAAAAH/L9Sw=")</f>
        <v>#REF!</v>
      </c>
      <c r="AT16" t="e">
        <f>AND(#REF!,"AAAAAH/L9S0=")</f>
        <v>#REF!</v>
      </c>
      <c r="AU16" t="e">
        <f>IF(#REF!,"AAAAAH/L9S4=",0)</f>
        <v>#REF!</v>
      </c>
      <c r="AV16" t="e">
        <f>AND(#REF!,"AAAAAH/L9S8=")</f>
        <v>#REF!</v>
      </c>
      <c r="AW16" t="e">
        <f>AND(#REF!,"AAAAAH/L9TA=")</f>
        <v>#REF!</v>
      </c>
      <c r="AX16" t="e">
        <f>AND(#REF!,"AAAAAH/L9TE=")</f>
        <v>#REF!</v>
      </c>
      <c r="AY16" t="e">
        <f>AND(#REF!,"AAAAAH/L9TI=")</f>
        <v>#REF!</v>
      </c>
      <c r="AZ16" t="e">
        <f>AND(#REF!,"AAAAAH/L9TM=")</f>
        <v>#REF!</v>
      </c>
      <c r="BA16" t="e">
        <f>AND(#REF!,"AAAAAH/L9TQ=")</f>
        <v>#REF!</v>
      </c>
      <c r="BB16" t="e">
        <f>AND(#REF!,"AAAAAH/L9TU=")</f>
        <v>#REF!</v>
      </c>
      <c r="BC16" t="e">
        <f>AND(#REF!,"AAAAAH/L9TY=")</f>
        <v>#REF!</v>
      </c>
      <c r="BD16" t="e">
        <f>AND(#REF!,"AAAAAH/L9Tc=")</f>
        <v>#REF!</v>
      </c>
      <c r="BE16" t="e">
        <f>AND(#REF!,"AAAAAH/L9Tg=")</f>
        <v>#REF!</v>
      </c>
      <c r="BF16" t="e">
        <f>AND(#REF!,"AAAAAH/L9Tk=")</f>
        <v>#REF!</v>
      </c>
      <c r="BG16" t="e">
        <f>AND(#REF!,"AAAAAH/L9To=")</f>
        <v>#REF!</v>
      </c>
      <c r="BH16" t="e">
        <f>AND(#REF!,"AAAAAH/L9Ts=")</f>
        <v>#REF!</v>
      </c>
      <c r="BI16" t="e">
        <f>AND(#REF!,"AAAAAH/L9Tw=")</f>
        <v>#REF!</v>
      </c>
      <c r="BJ16" t="e">
        <f>AND(#REF!,"AAAAAH/L9T0=")</f>
        <v>#REF!</v>
      </c>
      <c r="BK16" t="e">
        <f>AND(#REF!,"AAAAAH/L9T4=")</f>
        <v>#REF!</v>
      </c>
      <c r="BL16" t="e">
        <f>AND(#REF!,"AAAAAH/L9T8=")</f>
        <v>#REF!</v>
      </c>
      <c r="BM16" t="e">
        <f>AND(#REF!,"AAAAAH/L9UA=")</f>
        <v>#REF!</v>
      </c>
      <c r="BN16" t="e">
        <f>AND(#REF!,"AAAAAH/L9UE=")</f>
        <v>#REF!</v>
      </c>
      <c r="BO16" t="e">
        <f>AND(#REF!,"AAAAAH/L9UI=")</f>
        <v>#REF!</v>
      </c>
      <c r="BP16" t="e">
        <f>AND(#REF!,"AAAAAH/L9UM=")</f>
        <v>#REF!</v>
      </c>
      <c r="BQ16" t="e">
        <f>AND(#REF!,"AAAAAH/L9UQ=")</f>
        <v>#REF!</v>
      </c>
      <c r="BR16" t="e">
        <f>AND(#REF!,"AAAAAH/L9UU=")</f>
        <v>#REF!</v>
      </c>
      <c r="BS16" t="e">
        <f>AND(#REF!,"AAAAAH/L9UY=")</f>
        <v>#REF!</v>
      </c>
      <c r="BT16" t="e">
        <f>AND(#REF!,"AAAAAH/L9Uc=")</f>
        <v>#REF!</v>
      </c>
      <c r="BU16" t="e">
        <f>AND(#REF!,"AAAAAH/L9Ug=")</f>
        <v>#REF!</v>
      </c>
      <c r="BV16" t="e">
        <f>IF(#REF!,"AAAAAH/L9Uk=",0)</f>
        <v>#REF!</v>
      </c>
      <c r="BW16" t="e">
        <f>AND(#REF!,"AAAAAH/L9Uo=")</f>
        <v>#REF!</v>
      </c>
      <c r="BX16" t="e">
        <f>AND(#REF!,"AAAAAH/L9Us=")</f>
        <v>#REF!</v>
      </c>
      <c r="BY16" t="e">
        <f>AND(#REF!,"AAAAAH/L9Uw=")</f>
        <v>#REF!</v>
      </c>
      <c r="BZ16" t="e">
        <f>AND(#REF!,"AAAAAH/L9U0=")</f>
        <v>#REF!</v>
      </c>
      <c r="CA16" t="e">
        <f>AND(#REF!,"AAAAAH/L9U4=")</f>
        <v>#REF!</v>
      </c>
      <c r="CB16" t="e">
        <f>AND(#REF!,"AAAAAH/L9U8=")</f>
        <v>#REF!</v>
      </c>
      <c r="CC16" t="e">
        <f>AND(#REF!,"AAAAAH/L9VA=")</f>
        <v>#REF!</v>
      </c>
      <c r="CD16" t="e">
        <f>AND(#REF!,"AAAAAH/L9VE=")</f>
        <v>#REF!</v>
      </c>
      <c r="CE16" t="e">
        <f>AND(#REF!,"AAAAAH/L9VI=")</f>
        <v>#REF!</v>
      </c>
      <c r="CF16" t="e">
        <f>AND(#REF!,"AAAAAH/L9VM=")</f>
        <v>#REF!</v>
      </c>
      <c r="CG16" t="e">
        <f>AND(#REF!,"AAAAAH/L9VQ=")</f>
        <v>#REF!</v>
      </c>
      <c r="CH16" t="e">
        <f>AND(#REF!,"AAAAAH/L9VU=")</f>
        <v>#REF!</v>
      </c>
      <c r="CI16" t="e">
        <f>AND(#REF!,"AAAAAH/L9VY=")</f>
        <v>#REF!</v>
      </c>
      <c r="CJ16" t="e">
        <f>AND(#REF!,"AAAAAH/L9Vc=")</f>
        <v>#REF!</v>
      </c>
      <c r="CK16" t="e">
        <f>AND(#REF!,"AAAAAH/L9Vg=")</f>
        <v>#REF!</v>
      </c>
      <c r="CL16" t="e">
        <f>AND(#REF!,"AAAAAH/L9Vk=")</f>
        <v>#REF!</v>
      </c>
      <c r="CM16" t="e">
        <f>AND(#REF!,"AAAAAH/L9Vo=")</f>
        <v>#REF!</v>
      </c>
      <c r="CN16" t="e">
        <f>AND(#REF!,"AAAAAH/L9Vs=")</f>
        <v>#REF!</v>
      </c>
      <c r="CO16" t="e">
        <f>AND(#REF!,"AAAAAH/L9Vw=")</f>
        <v>#REF!</v>
      </c>
      <c r="CP16" t="e">
        <f>AND(#REF!,"AAAAAH/L9V0=")</f>
        <v>#REF!</v>
      </c>
      <c r="CQ16" t="e">
        <f>AND(#REF!,"AAAAAH/L9V4=")</f>
        <v>#REF!</v>
      </c>
      <c r="CR16" t="e">
        <f>AND(#REF!,"AAAAAH/L9V8=")</f>
        <v>#REF!</v>
      </c>
      <c r="CS16" t="e">
        <f>AND(#REF!,"AAAAAH/L9WA=")</f>
        <v>#REF!</v>
      </c>
      <c r="CT16" t="e">
        <f>AND(#REF!,"AAAAAH/L9WE=")</f>
        <v>#REF!</v>
      </c>
      <c r="CU16" t="e">
        <f>AND(#REF!,"AAAAAH/L9WI=")</f>
        <v>#REF!</v>
      </c>
      <c r="CV16" t="e">
        <f>AND(#REF!,"AAAAAH/L9WM=")</f>
        <v>#REF!</v>
      </c>
      <c r="CW16" t="e">
        <f>IF(#REF!,"AAAAAH/L9WQ=",0)</f>
        <v>#REF!</v>
      </c>
      <c r="CX16" t="e">
        <f>AND(#REF!,"AAAAAH/L9WU=")</f>
        <v>#REF!</v>
      </c>
      <c r="CY16" t="e">
        <f>AND(#REF!,"AAAAAH/L9WY=")</f>
        <v>#REF!</v>
      </c>
      <c r="CZ16" t="e">
        <f>AND(#REF!,"AAAAAH/L9Wc=")</f>
        <v>#REF!</v>
      </c>
      <c r="DA16" t="e">
        <f>AND(#REF!,"AAAAAH/L9Wg=")</f>
        <v>#REF!</v>
      </c>
      <c r="DB16" t="e">
        <f>AND(#REF!,"AAAAAH/L9Wk=")</f>
        <v>#REF!</v>
      </c>
      <c r="DC16" t="e">
        <f>AND(#REF!,"AAAAAH/L9Wo=")</f>
        <v>#REF!</v>
      </c>
      <c r="DD16" t="e">
        <f>AND(#REF!,"AAAAAH/L9Ws=")</f>
        <v>#REF!</v>
      </c>
      <c r="DE16" t="e">
        <f>AND(#REF!,"AAAAAH/L9Ww=")</f>
        <v>#REF!</v>
      </c>
      <c r="DF16" t="e">
        <f>AND(#REF!,"AAAAAH/L9W0=")</f>
        <v>#REF!</v>
      </c>
      <c r="DG16" t="e">
        <f>AND(#REF!,"AAAAAH/L9W4=")</f>
        <v>#REF!</v>
      </c>
      <c r="DH16" t="e">
        <f>AND(#REF!,"AAAAAH/L9W8=")</f>
        <v>#REF!</v>
      </c>
      <c r="DI16" t="e">
        <f>AND(#REF!,"AAAAAH/L9XA=")</f>
        <v>#REF!</v>
      </c>
      <c r="DJ16" t="e">
        <f>AND(#REF!,"AAAAAH/L9XE=")</f>
        <v>#REF!</v>
      </c>
      <c r="DK16" t="e">
        <f>AND(#REF!,"AAAAAH/L9XI=")</f>
        <v>#REF!</v>
      </c>
      <c r="DL16" t="e">
        <f>AND(#REF!,"AAAAAH/L9XM=")</f>
        <v>#REF!</v>
      </c>
      <c r="DM16" t="e">
        <f>AND(#REF!,"AAAAAH/L9XQ=")</f>
        <v>#REF!</v>
      </c>
      <c r="DN16" t="e">
        <f>AND(#REF!,"AAAAAH/L9XU=")</f>
        <v>#REF!</v>
      </c>
      <c r="DO16" t="e">
        <f>AND(#REF!,"AAAAAH/L9XY=")</f>
        <v>#REF!</v>
      </c>
      <c r="DP16" t="e">
        <f>AND(#REF!,"AAAAAH/L9Xc=")</f>
        <v>#REF!</v>
      </c>
      <c r="DQ16" t="e">
        <f>AND(#REF!,"AAAAAH/L9Xg=")</f>
        <v>#REF!</v>
      </c>
      <c r="DR16" t="e">
        <f>AND(#REF!,"AAAAAH/L9Xk=")</f>
        <v>#REF!</v>
      </c>
      <c r="DS16" t="e">
        <f>AND(#REF!,"AAAAAH/L9Xo=")</f>
        <v>#REF!</v>
      </c>
      <c r="DT16" t="e">
        <f>AND(#REF!,"AAAAAH/L9Xs=")</f>
        <v>#REF!</v>
      </c>
      <c r="DU16" t="e">
        <f>AND(#REF!,"AAAAAH/L9Xw=")</f>
        <v>#REF!</v>
      </c>
      <c r="DV16" t="e">
        <f>AND(#REF!,"AAAAAH/L9X0=")</f>
        <v>#REF!</v>
      </c>
      <c r="DW16" t="e">
        <f>AND(#REF!,"AAAAAH/L9X4=")</f>
        <v>#REF!</v>
      </c>
      <c r="DX16" t="e">
        <f>IF(#REF!,"AAAAAH/L9X8=",0)</f>
        <v>#REF!</v>
      </c>
      <c r="DY16" t="e">
        <f>AND(#REF!,"AAAAAH/L9YA=")</f>
        <v>#REF!</v>
      </c>
      <c r="DZ16" t="e">
        <f>AND(#REF!,"AAAAAH/L9YE=")</f>
        <v>#REF!</v>
      </c>
      <c r="EA16" t="e">
        <f>AND(#REF!,"AAAAAH/L9YI=")</f>
        <v>#REF!</v>
      </c>
      <c r="EB16" t="e">
        <f>AND(#REF!,"AAAAAH/L9YM=")</f>
        <v>#REF!</v>
      </c>
      <c r="EC16" t="e">
        <f>AND(#REF!,"AAAAAH/L9YQ=")</f>
        <v>#REF!</v>
      </c>
      <c r="ED16" t="e">
        <f>AND(#REF!,"AAAAAH/L9YU=")</f>
        <v>#REF!</v>
      </c>
      <c r="EE16" t="e">
        <f>AND(#REF!,"AAAAAH/L9YY=")</f>
        <v>#REF!</v>
      </c>
      <c r="EF16" t="e">
        <f>AND(#REF!,"AAAAAH/L9Yc=")</f>
        <v>#REF!</v>
      </c>
      <c r="EG16" t="e">
        <f>AND(#REF!,"AAAAAH/L9Yg=")</f>
        <v>#REF!</v>
      </c>
      <c r="EH16" t="e">
        <f>AND(#REF!,"AAAAAH/L9Yk=")</f>
        <v>#REF!</v>
      </c>
      <c r="EI16" t="e">
        <f>AND(#REF!,"AAAAAH/L9Yo=")</f>
        <v>#REF!</v>
      </c>
      <c r="EJ16" t="e">
        <f>AND(#REF!,"AAAAAH/L9Ys=")</f>
        <v>#REF!</v>
      </c>
      <c r="EK16" t="e">
        <f>AND(#REF!,"AAAAAH/L9Yw=")</f>
        <v>#REF!</v>
      </c>
      <c r="EL16" t="e">
        <f>AND(#REF!,"AAAAAH/L9Y0=")</f>
        <v>#REF!</v>
      </c>
      <c r="EM16" t="e">
        <f>AND(#REF!,"AAAAAH/L9Y4=")</f>
        <v>#REF!</v>
      </c>
      <c r="EN16" t="e">
        <f>AND(#REF!,"AAAAAH/L9Y8=")</f>
        <v>#REF!</v>
      </c>
      <c r="EO16" t="e">
        <f>AND(#REF!,"AAAAAH/L9ZA=")</f>
        <v>#REF!</v>
      </c>
      <c r="EP16" t="e">
        <f>AND(#REF!,"AAAAAH/L9ZE=")</f>
        <v>#REF!</v>
      </c>
      <c r="EQ16" t="e">
        <f>AND(#REF!,"AAAAAH/L9ZI=")</f>
        <v>#REF!</v>
      </c>
      <c r="ER16" t="e">
        <f>AND(#REF!,"AAAAAH/L9ZM=")</f>
        <v>#REF!</v>
      </c>
      <c r="ES16" t="e">
        <f>AND(#REF!,"AAAAAH/L9ZQ=")</f>
        <v>#REF!</v>
      </c>
      <c r="ET16" t="e">
        <f>AND(#REF!,"AAAAAH/L9ZU=")</f>
        <v>#REF!</v>
      </c>
      <c r="EU16" t="e">
        <f>AND(#REF!,"AAAAAH/L9ZY=")</f>
        <v>#REF!</v>
      </c>
      <c r="EV16" t="e">
        <f>AND(#REF!,"AAAAAH/L9Zc=")</f>
        <v>#REF!</v>
      </c>
      <c r="EW16" t="e">
        <f>AND(#REF!,"AAAAAH/L9Zg=")</f>
        <v>#REF!</v>
      </c>
      <c r="EX16" t="e">
        <f>AND(#REF!,"AAAAAH/L9Zk=")</f>
        <v>#REF!</v>
      </c>
      <c r="EY16" t="e">
        <f>IF(#REF!,"AAAAAH/L9Zo=",0)</f>
        <v>#REF!</v>
      </c>
      <c r="EZ16" t="e">
        <f>AND(#REF!,"AAAAAH/L9Zs=")</f>
        <v>#REF!</v>
      </c>
      <c r="FA16" t="e">
        <f>AND(#REF!,"AAAAAH/L9Zw=")</f>
        <v>#REF!</v>
      </c>
      <c r="FB16" t="e">
        <f>AND(#REF!,"AAAAAH/L9Z0=")</f>
        <v>#REF!</v>
      </c>
      <c r="FC16" t="e">
        <f>AND(#REF!,"AAAAAH/L9Z4=")</f>
        <v>#REF!</v>
      </c>
      <c r="FD16" t="e">
        <f>AND(#REF!,"AAAAAH/L9Z8=")</f>
        <v>#REF!</v>
      </c>
      <c r="FE16" t="e">
        <f>AND(#REF!,"AAAAAH/L9aA=")</f>
        <v>#REF!</v>
      </c>
      <c r="FF16" t="e">
        <f>AND(#REF!,"AAAAAH/L9aE=")</f>
        <v>#REF!</v>
      </c>
      <c r="FG16" t="e">
        <f>AND(#REF!,"AAAAAH/L9aI=")</f>
        <v>#REF!</v>
      </c>
      <c r="FH16" t="e">
        <f>AND(#REF!,"AAAAAH/L9aM=")</f>
        <v>#REF!</v>
      </c>
      <c r="FI16" t="e">
        <f>AND(#REF!,"AAAAAH/L9aQ=")</f>
        <v>#REF!</v>
      </c>
      <c r="FJ16" t="e">
        <f>AND(#REF!,"AAAAAH/L9aU=")</f>
        <v>#REF!</v>
      </c>
      <c r="FK16" t="e">
        <f>AND(#REF!,"AAAAAH/L9aY=")</f>
        <v>#REF!</v>
      </c>
      <c r="FL16" t="e">
        <f>AND(#REF!,"AAAAAH/L9ac=")</f>
        <v>#REF!</v>
      </c>
      <c r="FM16" t="e">
        <f>AND(#REF!,"AAAAAH/L9ag=")</f>
        <v>#REF!</v>
      </c>
      <c r="FN16" t="e">
        <f>AND(#REF!,"AAAAAH/L9ak=")</f>
        <v>#REF!</v>
      </c>
      <c r="FO16" t="e">
        <f>AND(#REF!,"AAAAAH/L9ao=")</f>
        <v>#REF!</v>
      </c>
      <c r="FP16" t="e">
        <f>AND(#REF!,"AAAAAH/L9as=")</f>
        <v>#REF!</v>
      </c>
      <c r="FQ16" t="e">
        <f>AND(#REF!,"AAAAAH/L9aw=")</f>
        <v>#REF!</v>
      </c>
      <c r="FR16" t="e">
        <f>AND(#REF!,"AAAAAH/L9a0=")</f>
        <v>#REF!</v>
      </c>
      <c r="FS16" t="e">
        <f>AND(#REF!,"AAAAAH/L9a4=")</f>
        <v>#REF!</v>
      </c>
      <c r="FT16" t="e">
        <f>AND(#REF!,"AAAAAH/L9a8=")</f>
        <v>#REF!</v>
      </c>
      <c r="FU16" t="e">
        <f>AND(#REF!,"AAAAAH/L9bA=")</f>
        <v>#REF!</v>
      </c>
      <c r="FV16" t="e">
        <f>AND(#REF!,"AAAAAH/L9bE=")</f>
        <v>#REF!</v>
      </c>
      <c r="FW16" t="e">
        <f>AND(#REF!,"AAAAAH/L9bI=")</f>
        <v>#REF!</v>
      </c>
      <c r="FX16" t="e">
        <f>AND(#REF!,"AAAAAH/L9bM=")</f>
        <v>#REF!</v>
      </c>
      <c r="FY16" t="e">
        <f>AND(#REF!,"AAAAAH/L9bQ=")</f>
        <v>#REF!</v>
      </c>
      <c r="FZ16" t="e">
        <f>IF(#REF!,"AAAAAH/L9bU=",0)</f>
        <v>#REF!</v>
      </c>
      <c r="GA16" t="e">
        <f>AND(#REF!,"AAAAAH/L9bY=")</f>
        <v>#REF!</v>
      </c>
      <c r="GB16" t="e">
        <f>AND(#REF!,"AAAAAH/L9bc=")</f>
        <v>#REF!</v>
      </c>
      <c r="GC16" t="e">
        <f>AND(#REF!,"AAAAAH/L9bg=")</f>
        <v>#REF!</v>
      </c>
      <c r="GD16" t="e">
        <f>AND(#REF!,"AAAAAH/L9bk=")</f>
        <v>#REF!</v>
      </c>
      <c r="GE16" t="e">
        <f>AND(#REF!,"AAAAAH/L9bo=")</f>
        <v>#REF!</v>
      </c>
      <c r="GF16" t="e">
        <f>AND(#REF!,"AAAAAH/L9bs=")</f>
        <v>#REF!</v>
      </c>
      <c r="GG16" t="e">
        <f>AND(#REF!,"AAAAAH/L9bw=")</f>
        <v>#REF!</v>
      </c>
      <c r="GH16" t="e">
        <f>AND(#REF!,"AAAAAH/L9b0=")</f>
        <v>#REF!</v>
      </c>
      <c r="GI16" t="e">
        <f>AND(#REF!,"AAAAAH/L9b4=")</f>
        <v>#REF!</v>
      </c>
      <c r="GJ16" t="e">
        <f>AND(#REF!,"AAAAAH/L9b8=")</f>
        <v>#REF!</v>
      </c>
      <c r="GK16" t="e">
        <f>AND(#REF!,"AAAAAH/L9cA=")</f>
        <v>#REF!</v>
      </c>
      <c r="GL16" t="e">
        <f>AND(#REF!,"AAAAAH/L9cE=")</f>
        <v>#REF!</v>
      </c>
      <c r="GM16" t="e">
        <f>AND(#REF!,"AAAAAH/L9cI=")</f>
        <v>#REF!</v>
      </c>
      <c r="GN16" t="e">
        <f>AND(#REF!,"AAAAAH/L9cM=")</f>
        <v>#REF!</v>
      </c>
      <c r="GO16" t="e">
        <f>AND(#REF!,"AAAAAH/L9cQ=")</f>
        <v>#REF!</v>
      </c>
      <c r="GP16" t="e">
        <f>AND(#REF!,"AAAAAH/L9cU=")</f>
        <v>#REF!</v>
      </c>
      <c r="GQ16" t="e">
        <f>AND(#REF!,"AAAAAH/L9cY=")</f>
        <v>#REF!</v>
      </c>
      <c r="GR16" t="e">
        <f>AND(#REF!,"AAAAAH/L9cc=")</f>
        <v>#REF!</v>
      </c>
      <c r="GS16" t="e">
        <f>AND(#REF!,"AAAAAH/L9cg=")</f>
        <v>#REF!</v>
      </c>
      <c r="GT16" t="e">
        <f>AND(#REF!,"AAAAAH/L9ck=")</f>
        <v>#REF!</v>
      </c>
      <c r="GU16" t="e">
        <f>AND(#REF!,"AAAAAH/L9co=")</f>
        <v>#REF!</v>
      </c>
      <c r="GV16" t="e">
        <f>AND(#REF!,"AAAAAH/L9cs=")</f>
        <v>#REF!</v>
      </c>
      <c r="GW16" t="e">
        <f>AND(#REF!,"AAAAAH/L9cw=")</f>
        <v>#REF!</v>
      </c>
      <c r="GX16" t="e">
        <f>AND(#REF!,"AAAAAH/L9c0=")</f>
        <v>#REF!</v>
      </c>
      <c r="GY16" t="e">
        <f>AND(#REF!,"AAAAAH/L9c4=")</f>
        <v>#REF!</v>
      </c>
      <c r="GZ16" t="e">
        <f>AND(#REF!,"AAAAAH/L9c8=")</f>
        <v>#REF!</v>
      </c>
      <c r="HA16" t="e">
        <f>IF(#REF!,"AAAAAH/L9dA=",0)</f>
        <v>#REF!</v>
      </c>
      <c r="HB16" t="e">
        <f>AND(#REF!,"AAAAAH/L9dE=")</f>
        <v>#REF!</v>
      </c>
      <c r="HC16" t="e">
        <f>AND(#REF!,"AAAAAH/L9dI=")</f>
        <v>#REF!</v>
      </c>
      <c r="HD16" t="e">
        <f>AND(#REF!,"AAAAAH/L9dM=")</f>
        <v>#REF!</v>
      </c>
      <c r="HE16" t="e">
        <f>AND(#REF!,"AAAAAH/L9dQ=")</f>
        <v>#REF!</v>
      </c>
      <c r="HF16" t="e">
        <f>AND(#REF!,"AAAAAH/L9dU=")</f>
        <v>#REF!</v>
      </c>
      <c r="HG16" t="e">
        <f>AND(#REF!,"AAAAAH/L9dY=")</f>
        <v>#REF!</v>
      </c>
      <c r="HH16" t="e">
        <f>AND(#REF!,"AAAAAH/L9dc=")</f>
        <v>#REF!</v>
      </c>
      <c r="HI16" t="e">
        <f>AND(#REF!,"AAAAAH/L9dg=")</f>
        <v>#REF!</v>
      </c>
      <c r="HJ16" t="e">
        <f>AND(#REF!,"AAAAAH/L9dk=")</f>
        <v>#REF!</v>
      </c>
      <c r="HK16" t="e">
        <f>AND(#REF!,"AAAAAH/L9do=")</f>
        <v>#REF!</v>
      </c>
      <c r="HL16" t="e">
        <f>AND(#REF!,"AAAAAH/L9ds=")</f>
        <v>#REF!</v>
      </c>
      <c r="HM16" t="e">
        <f>AND(#REF!,"AAAAAH/L9dw=")</f>
        <v>#REF!</v>
      </c>
      <c r="HN16" t="e">
        <f>AND(#REF!,"AAAAAH/L9d0=")</f>
        <v>#REF!</v>
      </c>
      <c r="HO16" t="e">
        <f>AND(#REF!,"AAAAAH/L9d4=")</f>
        <v>#REF!</v>
      </c>
      <c r="HP16" t="e">
        <f>AND(#REF!,"AAAAAH/L9d8=")</f>
        <v>#REF!</v>
      </c>
      <c r="HQ16" t="e">
        <f>AND(#REF!,"AAAAAH/L9eA=")</f>
        <v>#REF!</v>
      </c>
      <c r="HR16" t="e">
        <f>AND(#REF!,"AAAAAH/L9eE=")</f>
        <v>#REF!</v>
      </c>
      <c r="HS16" t="e">
        <f>AND(#REF!,"AAAAAH/L9eI=")</f>
        <v>#REF!</v>
      </c>
      <c r="HT16" t="e">
        <f>AND(#REF!,"AAAAAH/L9eM=")</f>
        <v>#REF!</v>
      </c>
      <c r="HU16" t="e">
        <f>AND(#REF!,"AAAAAH/L9eQ=")</f>
        <v>#REF!</v>
      </c>
      <c r="HV16" t="e">
        <f>AND(#REF!,"AAAAAH/L9eU=")</f>
        <v>#REF!</v>
      </c>
      <c r="HW16" t="e">
        <f>AND(#REF!,"AAAAAH/L9eY=")</f>
        <v>#REF!</v>
      </c>
      <c r="HX16" t="e">
        <f>AND(#REF!,"AAAAAH/L9ec=")</f>
        <v>#REF!</v>
      </c>
      <c r="HY16" t="e">
        <f>AND(#REF!,"AAAAAH/L9eg=")</f>
        <v>#REF!</v>
      </c>
      <c r="HZ16" t="e">
        <f>AND(#REF!,"AAAAAH/L9ek=")</f>
        <v>#REF!</v>
      </c>
      <c r="IA16" t="e">
        <f>AND(#REF!,"AAAAAH/L9eo=")</f>
        <v>#REF!</v>
      </c>
      <c r="IB16" t="e">
        <f>IF(#REF!,"AAAAAH/L9es=",0)</f>
        <v>#REF!</v>
      </c>
      <c r="IC16" t="e">
        <f>AND(#REF!,"AAAAAH/L9ew=")</f>
        <v>#REF!</v>
      </c>
      <c r="ID16" t="e">
        <f>AND(#REF!,"AAAAAH/L9e0=")</f>
        <v>#REF!</v>
      </c>
      <c r="IE16" t="e">
        <f>AND(#REF!,"AAAAAH/L9e4=")</f>
        <v>#REF!</v>
      </c>
      <c r="IF16" t="e">
        <f>AND(#REF!,"AAAAAH/L9e8=")</f>
        <v>#REF!</v>
      </c>
      <c r="IG16" t="e">
        <f>AND(#REF!,"AAAAAH/L9fA=")</f>
        <v>#REF!</v>
      </c>
      <c r="IH16" t="e">
        <f>AND(#REF!,"AAAAAH/L9fE=")</f>
        <v>#REF!</v>
      </c>
      <c r="II16" t="e">
        <f>AND(#REF!,"AAAAAH/L9fI=")</f>
        <v>#REF!</v>
      </c>
      <c r="IJ16" t="e">
        <f>AND(#REF!,"AAAAAH/L9fM=")</f>
        <v>#REF!</v>
      </c>
      <c r="IK16" t="e">
        <f>AND(#REF!,"AAAAAH/L9fQ=")</f>
        <v>#REF!</v>
      </c>
      <c r="IL16" t="e">
        <f>AND(#REF!,"AAAAAH/L9fU=")</f>
        <v>#REF!</v>
      </c>
      <c r="IM16" t="e">
        <f>AND(#REF!,"AAAAAH/L9fY=")</f>
        <v>#REF!</v>
      </c>
      <c r="IN16" t="e">
        <f>AND(#REF!,"AAAAAH/L9fc=")</f>
        <v>#REF!</v>
      </c>
      <c r="IO16" t="e">
        <f>AND(#REF!,"AAAAAH/L9fg=")</f>
        <v>#REF!</v>
      </c>
      <c r="IP16" t="e">
        <f>AND(#REF!,"AAAAAH/L9fk=")</f>
        <v>#REF!</v>
      </c>
      <c r="IQ16" t="e">
        <f>AND(#REF!,"AAAAAH/L9fo=")</f>
        <v>#REF!</v>
      </c>
      <c r="IR16" t="e">
        <f>AND(#REF!,"AAAAAH/L9fs=")</f>
        <v>#REF!</v>
      </c>
      <c r="IS16" t="e">
        <f>AND(#REF!,"AAAAAH/L9fw=")</f>
        <v>#REF!</v>
      </c>
      <c r="IT16" t="e">
        <f>AND(#REF!,"AAAAAH/L9f0=")</f>
        <v>#REF!</v>
      </c>
      <c r="IU16" t="e">
        <f>AND(#REF!,"AAAAAH/L9f4=")</f>
        <v>#REF!</v>
      </c>
      <c r="IV16" t="e">
        <f>AND(#REF!,"AAAAAH/L9f8=")</f>
        <v>#REF!</v>
      </c>
    </row>
    <row r="17" spans="1:256" x14ac:dyDescent="0.2">
      <c r="A17" t="e">
        <f>AND(#REF!,"AAAAADvtvwA=")</f>
        <v>#REF!</v>
      </c>
      <c r="B17" t="e">
        <f>AND(#REF!,"AAAAADvtvwE=")</f>
        <v>#REF!</v>
      </c>
      <c r="C17" t="e">
        <f>AND(#REF!,"AAAAADvtvwI=")</f>
        <v>#REF!</v>
      </c>
      <c r="D17" t="e">
        <f>AND(#REF!,"AAAAADvtvwM=")</f>
        <v>#REF!</v>
      </c>
      <c r="E17" t="e">
        <f>AND(#REF!,"AAAAADvtvwQ=")</f>
        <v>#REF!</v>
      </c>
      <c r="F17" t="e">
        <f>AND(#REF!,"AAAAADvtvwU=")</f>
        <v>#REF!</v>
      </c>
      <c r="G17" t="e">
        <f>IF(#REF!,"AAAAADvtvwY=",0)</f>
        <v>#REF!</v>
      </c>
      <c r="H17" t="e">
        <f>AND(#REF!,"AAAAADvtvwc=")</f>
        <v>#REF!</v>
      </c>
      <c r="I17" t="e">
        <f>AND(#REF!,"AAAAADvtvwg=")</f>
        <v>#REF!</v>
      </c>
      <c r="J17" t="e">
        <f>AND(#REF!,"AAAAADvtvwk=")</f>
        <v>#REF!</v>
      </c>
      <c r="K17" t="e">
        <f>AND(#REF!,"AAAAADvtvwo=")</f>
        <v>#REF!</v>
      </c>
      <c r="L17" t="e">
        <f>AND(#REF!,"AAAAADvtvws=")</f>
        <v>#REF!</v>
      </c>
      <c r="M17" t="e">
        <f>AND(#REF!,"AAAAADvtvww=")</f>
        <v>#REF!</v>
      </c>
      <c r="N17" t="e">
        <f>AND(#REF!,"AAAAADvtvw0=")</f>
        <v>#REF!</v>
      </c>
      <c r="O17" t="e">
        <f>AND(#REF!,"AAAAADvtvw4=")</f>
        <v>#REF!</v>
      </c>
      <c r="P17" t="e">
        <f>AND(#REF!,"AAAAADvtvw8=")</f>
        <v>#REF!</v>
      </c>
      <c r="Q17" t="e">
        <f>AND(#REF!,"AAAAADvtvxA=")</f>
        <v>#REF!</v>
      </c>
      <c r="R17" t="e">
        <f>AND(#REF!,"AAAAADvtvxE=")</f>
        <v>#REF!</v>
      </c>
      <c r="S17" t="e">
        <f>AND(#REF!,"AAAAADvtvxI=")</f>
        <v>#REF!</v>
      </c>
      <c r="T17" t="e">
        <f>AND(#REF!,"AAAAADvtvxM=")</f>
        <v>#REF!</v>
      </c>
      <c r="U17" t="e">
        <f>AND(#REF!,"AAAAADvtvxQ=")</f>
        <v>#REF!</v>
      </c>
      <c r="V17" t="e">
        <f>AND(#REF!,"AAAAADvtvxU=")</f>
        <v>#REF!</v>
      </c>
      <c r="W17" t="e">
        <f>AND(#REF!,"AAAAADvtvxY=")</f>
        <v>#REF!</v>
      </c>
      <c r="X17" t="e">
        <f>AND(#REF!,"AAAAADvtvxc=")</f>
        <v>#REF!</v>
      </c>
      <c r="Y17" t="e">
        <f>AND(#REF!,"AAAAADvtvxg=")</f>
        <v>#REF!</v>
      </c>
      <c r="Z17" t="e">
        <f>AND(#REF!,"AAAAADvtvxk=")</f>
        <v>#REF!</v>
      </c>
      <c r="AA17" t="e">
        <f>AND(#REF!,"AAAAADvtvxo=")</f>
        <v>#REF!</v>
      </c>
      <c r="AB17" t="e">
        <f>AND(#REF!,"AAAAADvtvxs=")</f>
        <v>#REF!</v>
      </c>
      <c r="AC17" t="e">
        <f>AND(#REF!,"AAAAADvtvxw=")</f>
        <v>#REF!</v>
      </c>
      <c r="AD17" t="e">
        <f>AND(#REF!,"AAAAADvtvx0=")</f>
        <v>#REF!</v>
      </c>
      <c r="AE17" t="e">
        <f>AND(#REF!,"AAAAADvtvx4=")</f>
        <v>#REF!</v>
      </c>
      <c r="AF17" t="e">
        <f>AND(#REF!,"AAAAADvtvx8=")</f>
        <v>#REF!</v>
      </c>
      <c r="AG17" t="e">
        <f>AND(#REF!,"AAAAADvtvyA=")</f>
        <v>#REF!</v>
      </c>
      <c r="AH17" t="e">
        <f>IF(#REF!,"AAAAADvtvyE=",0)</f>
        <v>#REF!</v>
      </c>
      <c r="AI17" t="e">
        <f>AND(#REF!,"AAAAADvtvyI=")</f>
        <v>#REF!</v>
      </c>
      <c r="AJ17" t="e">
        <f>AND(#REF!,"AAAAADvtvyM=")</f>
        <v>#REF!</v>
      </c>
      <c r="AK17" t="e">
        <f>AND(#REF!,"AAAAADvtvyQ=")</f>
        <v>#REF!</v>
      </c>
      <c r="AL17" t="e">
        <f>AND(#REF!,"AAAAADvtvyU=")</f>
        <v>#REF!</v>
      </c>
      <c r="AM17" t="e">
        <f>AND(#REF!,"AAAAADvtvyY=")</f>
        <v>#REF!</v>
      </c>
      <c r="AN17" t="e">
        <f>AND(#REF!,"AAAAADvtvyc=")</f>
        <v>#REF!</v>
      </c>
      <c r="AO17" t="e">
        <f>AND(#REF!,"AAAAADvtvyg=")</f>
        <v>#REF!</v>
      </c>
      <c r="AP17" t="e">
        <f>AND(#REF!,"AAAAADvtvyk=")</f>
        <v>#REF!</v>
      </c>
      <c r="AQ17" t="e">
        <f>AND(#REF!,"AAAAADvtvyo=")</f>
        <v>#REF!</v>
      </c>
      <c r="AR17" t="e">
        <f>AND(#REF!,"AAAAADvtvys=")</f>
        <v>#REF!</v>
      </c>
      <c r="AS17" t="e">
        <f>AND(#REF!,"AAAAADvtvyw=")</f>
        <v>#REF!</v>
      </c>
      <c r="AT17" t="e">
        <f>AND(#REF!,"AAAAADvtvy0=")</f>
        <v>#REF!</v>
      </c>
      <c r="AU17" t="e">
        <f>AND(#REF!,"AAAAADvtvy4=")</f>
        <v>#REF!</v>
      </c>
      <c r="AV17" t="e">
        <f>AND(#REF!,"AAAAADvtvy8=")</f>
        <v>#REF!</v>
      </c>
      <c r="AW17" t="e">
        <f>AND(#REF!,"AAAAADvtvzA=")</f>
        <v>#REF!</v>
      </c>
      <c r="AX17" t="e">
        <f>AND(#REF!,"AAAAADvtvzE=")</f>
        <v>#REF!</v>
      </c>
      <c r="AY17" t="e">
        <f>AND(#REF!,"AAAAADvtvzI=")</f>
        <v>#REF!</v>
      </c>
      <c r="AZ17" t="e">
        <f>AND(#REF!,"AAAAADvtvzM=")</f>
        <v>#REF!</v>
      </c>
      <c r="BA17" t="e">
        <f>AND(#REF!,"AAAAADvtvzQ=")</f>
        <v>#REF!</v>
      </c>
      <c r="BB17" t="e">
        <f>AND(#REF!,"AAAAADvtvzU=")</f>
        <v>#REF!</v>
      </c>
      <c r="BC17" t="e">
        <f>AND(#REF!,"AAAAADvtvzY=")</f>
        <v>#REF!</v>
      </c>
      <c r="BD17" t="e">
        <f>AND(#REF!,"AAAAADvtvzc=")</f>
        <v>#REF!</v>
      </c>
      <c r="BE17" t="e">
        <f>AND(#REF!,"AAAAADvtvzg=")</f>
        <v>#REF!</v>
      </c>
      <c r="BF17" t="e">
        <f>AND(#REF!,"AAAAADvtvzk=")</f>
        <v>#REF!</v>
      </c>
      <c r="BG17" t="e">
        <f>AND(#REF!,"AAAAADvtvzo=")</f>
        <v>#REF!</v>
      </c>
      <c r="BH17" t="e">
        <f>AND(#REF!,"AAAAADvtvzs=")</f>
        <v>#REF!</v>
      </c>
      <c r="BI17" t="e">
        <f>IF(#REF!,"AAAAADvtvzw=",0)</f>
        <v>#REF!</v>
      </c>
      <c r="BJ17" t="e">
        <f>AND(#REF!,"AAAAADvtvz0=")</f>
        <v>#REF!</v>
      </c>
      <c r="BK17" t="e">
        <f>AND(#REF!,"AAAAADvtvz4=")</f>
        <v>#REF!</v>
      </c>
      <c r="BL17" t="e">
        <f>AND(#REF!,"AAAAADvtvz8=")</f>
        <v>#REF!</v>
      </c>
      <c r="BM17" t="e">
        <f>AND(#REF!,"AAAAADvtv0A=")</f>
        <v>#REF!</v>
      </c>
      <c r="BN17" t="e">
        <f>AND(#REF!,"AAAAADvtv0E=")</f>
        <v>#REF!</v>
      </c>
      <c r="BO17" t="e">
        <f>AND(#REF!,"AAAAADvtv0I=")</f>
        <v>#REF!</v>
      </c>
      <c r="BP17" t="e">
        <f>AND(#REF!,"AAAAADvtv0M=")</f>
        <v>#REF!</v>
      </c>
      <c r="BQ17" t="e">
        <f>AND(#REF!,"AAAAADvtv0Q=")</f>
        <v>#REF!</v>
      </c>
      <c r="BR17" t="e">
        <f>AND(#REF!,"AAAAADvtv0U=")</f>
        <v>#REF!</v>
      </c>
      <c r="BS17" t="e">
        <f>AND(#REF!,"AAAAADvtv0Y=")</f>
        <v>#REF!</v>
      </c>
      <c r="BT17" t="e">
        <f>AND(#REF!,"AAAAADvtv0c=")</f>
        <v>#REF!</v>
      </c>
      <c r="BU17" t="e">
        <f>AND(#REF!,"AAAAADvtv0g=")</f>
        <v>#REF!</v>
      </c>
      <c r="BV17" t="e">
        <f>AND(#REF!,"AAAAADvtv0k=")</f>
        <v>#REF!</v>
      </c>
      <c r="BW17" t="e">
        <f>AND(#REF!,"AAAAADvtv0o=")</f>
        <v>#REF!</v>
      </c>
      <c r="BX17" t="e">
        <f>AND(#REF!,"AAAAADvtv0s=")</f>
        <v>#REF!</v>
      </c>
      <c r="BY17" t="e">
        <f>AND(#REF!,"AAAAADvtv0w=")</f>
        <v>#REF!</v>
      </c>
      <c r="BZ17" t="e">
        <f>AND(#REF!,"AAAAADvtv00=")</f>
        <v>#REF!</v>
      </c>
      <c r="CA17" t="e">
        <f>AND(#REF!,"AAAAADvtv04=")</f>
        <v>#REF!</v>
      </c>
      <c r="CB17" t="e">
        <f>AND(#REF!,"AAAAADvtv08=")</f>
        <v>#REF!</v>
      </c>
      <c r="CC17" t="e">
        <f>AND(#REF!,"AAAAADvtv1A=")</f>
        <v>#REF!</v>
      </c>
      <c r="CD17" t="e">
        <f>AND(#REF!,"AAAAADvtv1E=")</f>
        <v>#REF!</v>
      </c>
      <c r="CE17" t="e">
        <f>AND(#REF!,"AAAAADvtv1I=")</f>
        <v>#REF!</v>
      </c>
      <c r="CF17" t="e">
        <f>AND(#REF!,"AAAAADvtv1M=")</f>
        <v>#REF!</v>
      </c>
      <c r="CG17" t="e">
        <f>AND(#REF!,"AAAAADvtv1Q=")</f>
        <v>#REF!</v>
      </c>
      <c r="CH17" t="e">
        <f>AND(#REF!,"AAAAADvtv1U=")</f>
        <v>#REF!</v>
      </c>
      <c r="CI17" t="e">
        <f>AND(#REF!,"AAAAADvtv1Y=")</f>
        <v>#REF!</v>
      </c>
      <c r="CJ17" t="e">
        <f>IF(#REF!,"AAAAADvtv1c=",0)</f>
        <v>#REF!</v>
      </c>
      <c r="CK17" t="e">
        <f>IF(#REF!,"AAAAADvtv1g=",0)</f>
        <v>#REF!</v>
      </c>
      <c r="CL17" t="e">
        <f>IF(#REF!,"AAAAADvtv1k=",0)</f>
        <v>#REF!</v>
      </c>
      <c r="CM17" t="e">
        <f>IF(#REF!,"AAAAADvtv1o=",0)</f>
        <v>#REF!</v>
      </c>
      <c r="CN17" t="e">
        <f>IF(#REF!,"AAAAADvtv1s=",0)</f>
        <v>#REF!</v>
      </c>
      <c r="CO17" t="e">
        <f>IF(#REF!,"AAAAADvtv1w=",0)</f>
        <v>#REF!</v>
      </c>
      <c r="CP17" t="e">
        <f>IF(#REF!,"AAAAADvtv10=",0)</f>
        <v>#REF!</v>
      </c>
      <c r="CQ17" t="e">
        <f>IF(#REF!,"AAAAADvtv14=",0)</f>
        <v>#REF!</v>
      </c>
      <c r="CR17" t="e">
        <f>IF(#REF!,"AAAAADvtv18=",0)</f>
        <v>#REF!</v>
      </c>
      <c r="CS17" t="e">
        <f>IF(#REF!,"AAAAADvtv2A=",0)</f>
        <v>#REF!</v>
      </c>
      <c r="CT17" t="e">
        <f>IF(#REF!,"AAAAADvtv2E=",0)</f>
        <v>#REF!</v>
      </c>
      <c r="CU17" t="e">
        <f>IF(#REF!,"AAAAADvtv2I=",0)</f>
        <v>#REF!</v>
      </c>
      <c r="CV17" t="e">
        <f>IF(#REF!,"AAAAADvtv2M=",0)</f>
        <v>#REF!</v>
      </c>
      <c r="CW17" t="e">
        <f>IF(#REF!,"AAAAADvtv2Q=",0)</f>
        <v>#REF!</v>
      </c>
      <c r="CX17" t="e">
        <f>IF(#REF!,"AAAAADvtv2U=",0)</f>
        <v>#REF!</v>
      </c>
      <c r="CY17" t="e">
        <f>IF(#REF!,"AAAAADvtv2Y=",0)</f>
        <v>#REF!</v>
      </c>
      <c r="CZ17" t="e">
        <f>IF(#REF!,"AAAAADvtv2c=",0)</f>
        <v>#REF!</v>
      </c>
      <c r="DA17" t="e">
        <f>IF(#REF!,"AAAAADvtv2g=",0)</f>
        <v>#REF!</v>
      </c>
      <c r="DB17" t="e">
        <f>IF(#REF!,"AAAAADvtv2k=",0)</f>
        <v>#REF!</v>
      </c>
      <c r="DC17" t="e">
        <f>IF(#REF!,"AAAAADvtv2o=",0)</f>
        <v>#REF!</v>
      </c>
      <c r="DD17" t="e">
        <f>IF(#REF!,"AAAAADvtv2s=",0)</f>
        <v>#REF!</v>
      </c>
      <c r="DE17" t="e">
        <f>IF(#REF!,"AAAAADvtv2w=",0)</f>
        <v>#REF!</v>
      </c>
      <c r="DF17" t="e">
        <f>IF(#REF!,"AAAAADvtv20=",0)</f>
        <v>#REF!</v>
      </c>
      <c r="DG17" t="e">
        <f>IF(#REF!,"AAAAADvtv24=",0)</f>
        <v>#REF!</v>
      </c>
      <c r="DH17" t="e">
        <f>IF(#REF!,"AAAAADvtv28=",0)</f>
        <v>#REF!</v>
      </c>
      <c r="DI17" t="e">
        <f>IF(#REF!,"AAAAADvtv3A=",0)</f>
        <v>#REF!</v>
      </c>
      <c r="DJ17" t="e">
        <f>IF(#REF!,"AAAAADvtv3E=",0)</f>
        <v>#REF!</v>
      </c>
      <c r="DK17" t="e">
        <f>AND(#REF!,"AAAAADvtv3I=")</f>
        <v>#REF!</v>
      </c>
      <c r="DL17" t="e">
        <f>AND(#REF!,"AAAAADvtv3M=")</f>
        <v>#REF!</v>
      </c>
      <c r="DM17" t="e">
        <f>AND(#REF!,"AAAAADvtv3Q=")</f>
        <v>#REF!</v>
      </c>
      <c r="DN17" t="e">
        <f>AND(#REF!,"AAAAADvtv3U=")</f>
        <v>#REF!</v>
      </c>
      <c r="DO17" t="e">
        <f>AND(#REF!,"AAAAADvtv3Y=")</f>
        <v>#REF!</v>
      </c>
      <c r="DP17" t="e">
        <f>AND(#REF!,"AAAAADvtv3c=")</f>
        <v>#REF!</v>
      </c>
      <c r="DQ17" t="e">
        <f>AND(#REF!,"AAAAADvtv3g=")</f>
        <v>#REF!</v>
      </c>
      <c r="DR17" t="e">
        <f>AND(#REF!,"AAAAADvtv3k=")</f>
        <v>#REF!</v>
      </c>
      <c r="DS17" t="e">
        <f>AND(#REF!,"AAAAADvtv3o=")</f>
        <v>#REF!</v>
      </c>
      <c r="DT17" t="e">
        <f>AND(#REF!,"AAAAADvtv3s=")</f>
        <v>#REF!</v>
      </c>
      <c r="DU17" t="e">
        <f>AND(#REF!,"AAAAADvtv3w=")</f>
        <v>#REF!</v>
      </c>
      <c r="DV17" t="e">
        <f>AND(#REF!,"AAAAADvtv30=")</f>
        <v>#REF!</v>
      </c>
      <c r="DW17" t="e">
        <f>AND(#REF!,"AAAAADvtv34=")</f>
        <v>#REF!</v>
      </c>
      <c r="DX17" t="e">
        <f>AND(#REF!,"AAAAADvtv38=")</f>
        <v>#REF!</v>
      </c>
      <c r="DY17" t="e">
        <f>AND(#REF!,"AAAAADvtv4A=")</f>
        <v>#REF!</v>
      </c>
      <c r="DZ17" t="e">
        <f>AND(#REF!,"AAAAADvtv4E=")</f>
        <v>#REF!</v>
      </c>
      <c r="EA17" t="e">
        <f>AND(#REF!,"AAAAADvtv4I=")</f>
        <v>#REF!</v>
      </c>
      <c r="EB17" t="e">
        <f>AND(#REF!,"AAAAADvtv4M=")</f>
        <v>#REF!</v>
      </c>
      <c r="EC17" t="e">
        <f>AND(#REF!,"AAAAADvtv4Q=")</f>
        <v>#REF!</v>
      </c>
      <c r="ED17" t="e">
        <f>AND(#REF!,"AAAAADvtv4U=")</f>
        <v>#REF!</v>
      </c>
      <c r="EE17" t="e">
        <f>AND(#REF!,"AAAAADvtv4Y=")</f>
        <v>#REF!</v>
      </c>
      <c r="EF17" t="e">
        <f>AND(#REF!,"AAAAADvtv4c=")</f>
        <v>#REF!</v>
      </c>
      <c r="EG17" t="e">
        <f>AND(#REF!,"AAAAADvtv4g=")</f>
        <v>#REF!</v>
      </c>
      <c r="EH17" t="e">
        <f>AND(#REF!,"AAAAADvtv4k=")</f>
        <v>#REF!</v>
      </c>
      <c r="EI17" t="e">
        <f>AND(#REF!,"AAAAADvtv4o=")</f>
        <v>#REF!</v>
      </c>
      <c r="EJ17" t="e">
        <f>AND(#REF!,"AAAAADvtv4s=")</f>
        <v>#REF!</v>
      </c>
      <c r="EK17" t="e">
        <f>IF(#REF!,"AAAAADvtv4w=",0)</f>
        <v>#REF!</v>
      </c>
      <c r="EL17" t="e">
        <f>AND(#REF!,"AAAAADvtv40=")</f>
        <v>#REF!</v>
      </c>
      <c r="EM17" t="e">
        <f>AND(#REF!,"AAAAADvtv44=")</f>
        <v>#REF!</v>
      </c>
      <c r="EN17" t="e">
        <f>AND(#REF!,"AAAAADvtv48=")</f>
        <v>#REF!</v>
      </c>
      <c r="EO17" t="e">
        <f>AND(#REF!,"AAAAADvtv5A=")</f>
        <v>#REF!</v>
      </c>
      <c r="EP17" t="e">
        <f>AND(#REF!,"AAAAADvtv5E=")</f>
        <v>#REF!</v>
      </c>
      <c r="EQ17" t="e">
        <f>AND(#REF!,"AAAAADvtv5I=")</f>
        <v>#REF!</v>
      </c>
      <c r="ER17" t="e">
        <f>AND(#REF!,"AAAAADvtv5M=")</f>
        <v>#REF!</v>
      </c>
      <c r="ES17" t="e">
        <f>AND(#REF!,"AAAAADvtv5Q=")</f>
        <v>#REF!</v>
      </c>
      <c r="ET17" t="e">
        <f>AND(#REF!,"AAAAADvtv5U=")</f>
        <v>#REF!</v>
      </c>
      <c r="EU17" t="e">
        <f>AND(#REF!,"AAAAADvtv5Y=")</f>
        <v>#REF!</v>
      </c>
      <c r="EV17" t="e">
        <f>AND(#REF!,"AAAAADvtv5c=")</f>
        <v>#REF!</v>
      </c>
      <c r="EW17" t="e">
        <f>AND(#REF!,"AAAAADvtv5g=")</f>
        <v>#REF!</v>
      </c>
      <c r="EX17" t="e">
        <f>AND(#REF!,"AAAAADvtv5k=")</f>
        <v>#REF!</v>
      </c>
      <c r="EY17" t="e">
        <f>AND(#REF!,"AAAAADvtv5o=")</f>
        <v>#REF!</v>
      </c>
      <c r="EZ17" t="e">
        <f>AND(#REF!,"AAAAADvtv5s=")</f>
        <v>#REF!</v>
      </c>
      <c r="FA17" t="e">
        <f>AND(#REF!,"AAAAADvtv5w=")</f>
        <v>#REF!</v>
      </c>
      <c r="FB17" t="e">
        <f>AND(#REF!,"AAAAADvtv50=")</f>
        <v>#REF!</v>
      </c>
      <c r="FC17" t="e">
        <f>AND(#REF!,"AAAAADvtv54=")</f>
        <v>#REF!</v>
      </c>
      <c r="FD17" t="e">
        <f>AND(#REF!,"AAAAADvtv58=")</f>
        <v>#REF!</v>
      </c>
      <c r="FE17" t="e">
        <f>AND(#REF!,"AAAAADvtv6A=")</f>
        <v>#REF!</v>
      </c>
      <c r="FF17" t="e">
        <f>AND(#REF!,"AAAAADvtv6E=")</f>
        <v>#REF!</v>
      </c>
      <c r="FG17" t="e">
        <f>AND(#REF!,"AAAAADvtv6I=")</f>
        <v>#REF!</v>
      </c>
      <c r="FH17" t="e">
        <f>AND(#REF!,"AAAAADvtv6M=")</f>
        <v>#REF!</v>
      </c>
      <c r="FI17" t="e">
        <f>AND(#REF!,"AAAAADvtv6Q=")</f>
        <v>#REF!</v>
      </c>
      <c r="FJ17" t="e">
        <f>AND(#REF!,"AAAAADvtv6U=")</f>
        <v>#REF!</v>
      </c>
      <c r="FK17" t="e">
        <f>AND(#REF!,"AAAAADvtv6Y=")</f>
        <v>#REF!</v>
      </c>
      <c r="FL17" t="e">
        <f>IF(#REF!,"AAAAADvtv6c=",0)</f>
        <v>#REF!</v>
      </c>
      <c r="FM17" t="e">
        <f>AND(#REF!,"AAAAADvtv6g=")</f>
        <v>#REF!</v>
      </c>
      <c r="FN17" t="e">
        <f>AND(#REF!,"AAAAADvtv6k=")</f>
        <v>#REF!</v>
      </c>
      <c r="FO17" t="e">
        <f>AND(#REF!,"AAAAADvtv6o=")</f>
        <v>#REF!</v>
      </c>
      <c r="FP17" t="e">
        <f>AND(#REF!,"AAAAADvtv6s=")</f>
        <v>#REF!</v>
      </c>
      <c r="FQ17" t="e">
        <f>AND(#REF!,"AAAAADvtv6w=")</f>
        <v>#REF!</v>
      </c>
      <c r="FR17" t="e">
        <f>AND(#REF!,"AAAAADvtv60=")</f>
        <v>#REF!</v>
      </c>
      <c r="FS17" t="e">
        <f>AND(#REF!,"AAAAADvtv64=")</f>
        <v>#REF!</v>
      </c>
      <c r="FT17" t="e">
        <f>AND(#REF!,"AAAAADvtv68=")</f>
        <v>#REF!</v>
      </c>
      <c r="FU17" t="e">
        <f>AND(#REF!,"AAAAADvtv7A=")</f>
        <v>#REF!</v>
      </c>
      <c r="FV17" t="e">
        <f>AND(#REF!,"AAAAADvtv7E=")</f>
        <v>#REF!</v>
      </c>
      <c r="FW17" t="e">
        <f>AND(#REF!,"AAAAADvtv7I=")</f>
        <v>#REF!</v>
      </c>
      <c r="FX17" t="e">
        <f>AND(#REF!,"AAAAADvtv7M=")</f>
        <v>#REF!</v>
      </c>
      <c r="FY17" t="e">
        <f>AND(#REF!,"AAAAADvtv7Q=")</f>
        <v>#REF!</v>
      </c>
      <c r="FZ17" t="e">
        <f>AND(#REF!,"AAAAADvtv7U=")</f>
        <v>#REF!</v>
      </c>
      <c r="GA17" t="e">
        <f>AND(#REF!,"AAAAADvtv7Y=")</f>
        <v>#REF!</v>
      </c>
      <c r="GB17" t="e">
        <f>AND(#REF!,"AAAAADvtv7c=")</f>
        <v>#REF!</v>
      </c>
      <c r="GC17" t="e">
        <f>AND(#REF!,"AAAAADvtv7g=")</f>
        <v>#REF!</v>
      </c>
      <c r="GD17" t="e">
        <f>AND(#REF!,"AAAAADvtv7k=")</f>
        <v>#REF!</v>
      </c>
      <c r="GE17" t="e">
        <f>AND(#REF!,"AAAAADvtv7o=")</f>
        <v>#REF!</v>
      </c>
      <c r="GF17" t="e">
        <f>AND(#REF!,"AAAAADvtv7s=")</f>
        <v>#REF!</v>
      </c>
      <c r="GG17" t="e">
        <f>AND(#REF!,"AAAAADvtv7w=")</f>
        <v>#REF!</v>
      </c>
      <c r="GH17" t="e">
        <f>AND(#REF!,"AAAAADvtv70=")</f>
        <v>#REF!</v>
      </c>
      <c r="GI17" t="e">
        <f>AND(#REF!,"AAAAADvtv74=")</f>
        <v>#REF!</v>
      </c>
      <c r="GJ17" t="e">
        <f>AND(#REF!,"AAAAADvtv78=")</f>
        <v>#REF!</v>
      </c>
      <c r="GK17" t="e">
        <f>AND(#REF!,"AAAAADvtv8A=")</f>
        <v>#REF!</v>
      </c>
      <c r="GL17" t="e">
        <f>AND(#REF!,"AAAAADvtv8E=")</f>
        <v>#REF!</v>
      </c>
      <c r="GM17" t="e">
        <f>IF(#REF!,"AAAAADvtv8I=",0)</f>
        <v>#REF!</v>
      </c>
      <c r="GN17" t="e">
        <f>AND(#REF!,"AAAAADvtv8M=")</f>
        <v>#REF!</v>
      </c>
      <c r="GO17" t="e">
        <f>AND(#REF!,"AAAAADvtv8Q=")</f>
        <v>#REF!</v>
      </c>
      <c r="GP17" t="e">
        <f>AND(#REF!,"AAAAADvtv8U=")</f>
        <v>#REF!</v>
      </c>
      <c r="GQ17" t="e">
        <f>AND(#REF!,"AAAAADvtv8Y=")</f>
        <v>#REF!</v>
      </c>
      <c r="GR17" t="e">
        <f>AND(#REF!,"AAAAADvtv8c=")</f>
        <v>#REF!</v>
      </c>
      <c r="GS17" t="e">
        <f>AND(#REF!,"AAAAADvtv8g=")</f>
        <v>#REF!</v>
      </c>
      <c r="GT17" t="e">
        <f>AND(#REF!,"AAAAADvtv8k=")</f>
        <v>#REF!</v>
      </c>
      <c r="GU17" t="e">
        <f>AND(#REF!,"AAAAADvtv8o=")</f>
        <v>#REF!</v>
      </c>
      <c r="GV17" t="e">
        <f>AND(#REF!,"AAAAADvtv8s=")</f>
        <v>#REF!</v>
      </c>
      <c r="GW17" t="e">
        <f>AND(#REF!,"AAAAADvtv8w=")</f>
        <v>#REF!</v>
      </c>
      <c r="GX17" t="e">
        <f>AND(#REF!,"AAAAADvtv80=")</f>
        <v>#REF!</v>
      </c>
      <c r="GY17" t="e">
        <f>AND(#REF!,"AAAAADvtv84=")</f>
        <v>#REF!</v>
      </c>
      <c r="GZ17" t="e">
        <f>AND(#REF!,"AAAAADvtv88=")</f>
        <v>#REF!</v>
      </c>
      <c r="HA17" t="e">
        <f>AND(#REF!,"AAAAADvtv9A=")</f>
        <v>#REF!</v>
      </c>
      <c r="HB17" t="e">
        <f>AND(#REF!,"AAAAADvtv9E=")</f>
        <v>#REF!</v>
      </c>
      <c r="HC17" t="e">
        <f>AND(#REF!,"AAAAADvtv9I=")</f>
        <v>#REF!</v>
      </c>
      <c r="HD17" t="e">
        <f>AND(#REF!,"AAAAADvtv9M=")</f>
        <v>#REF!</v>
      </c>
      <c r="HE17" t="e">
        <f>AND(#REF!,"AAAAADvtv9Q=")</f>
        <v>#REF!</v>
      </c>
      <c r="HF17" t="e">
        <f>AND(#REF!,"AAAAADvtv9U=")</f>
        <v>#REF!</v>
      </c>
      <c r="HG17" t="e">
        <f>AND(#REF!,"AAAAADvtv9Y=")</f>
        <v>#REF!</v>
      </c>
      <c r="HH17" t="e">
        <f>AND(#REF!,"AAAAADvtv9c=")</f>
        <v>#REF!</v>
      </c>
      <c r="HI17" t="e">
        <f>AND(#REF!,"AAAAADvtv9g=")</f>
        <v>#REF!</v>
      </c>
      <c r="HJ17" t="e">
        <f>AND(#REF!,"AAAAADvtv9k=")</f>
        <v>#REF!</v>
      </c>
      <c r="HK17" t="e">
        <f>AND(#REF!,"AAAAADvtv9o=")</f>
        <v>#REF!</v>
      </c>
      <c r="HL17" t="e">
        <f>AND(#REF!,"AAAAADvtv9s=")</f>
        <v>#REF!</v>
      </c>
      <c r="HM17" t="e">
        <f>AND(#REF!,"AAAAADvtv9w=")</f>
        <v>#REF!</v>
      </c>
      <c r="HN17" t="e">
        <f>IF(#REF!,"AAAAADvtv90=",0)</f>
        <v>#REF!</v>
      </c>
      <c r="HO17" t="e">
        <f>AND(#REF!,"AAAAADvtv94=")</f>
        <v>#REF!</v>
      </c>
      <c r="HP17" t="e">
        <f>AND(#REF!,"AAAAADvtv98=")</f>
        <v>#REF!</v>
      </c>
      <c r="HQ17" t="e">
        <f>AND(#REF!,"AAAAADvtv+A=")</f>
        <v>#REF!</v>
      </c>
      <c r="HR17" t="e">
        <f>AND(#REF!,"AAAAADvtv+E=")</f>
        <v>#REF!</v>
      </c>
      <c r="HS17" t="e">
        <f>AND(#REF!,"AAAAADvtv+I=")</f>
        <v>#REF!</v>
      </c>
      <c r="HT17" t="e">
        <f>AND(#REF!,"AAAAADvtv+M=")</f>
        <v>#REF!</v>
      </c>
      <c r="HU17" t="e">
        <f>AND(#REF!,"AAAAADvtv+Q=")</f>
        <v>#REF!</v>
      </c>
      <c r="HV17" t="e">
        <f>AND(#REF!,"AAAAADvtv+U=")</f>
        <v>#REF!</v>
      </c>
      <c r="HW17" t="e">
        <f>AND(#REF!,"AAAAADvtv+Y=")</f>
        <v>#REF!</v>
      </c>
      <c r="HX17" t="e">
        <f>AND(#REF!,"AAAAADvtv+c=")</f>
        <v>#REF!</v>
      </c>
      <c r="HY17" t="e">
        <f>AND(#REF!,"AAAAADvtv+g=")</f>
        <v>#REF!</v>
      </c>
      <c r="HZ17" t="e">
        <f>AND(#REF!,"AAAAADvtv+k=")</f>
        <v>#REF!</v>
      </c>
      <c r="IA17" t="e">
        <f>AND(#REF!,"AAAAADvtv+o=")</f>
        <v>#REF!</v>
      </c>
      <c r="IB17" t="e">
        <f>AND(#REF!,"AAAAADvtv+s=")</f>
        <v>#REF!</v>
      </c>
      <c r="IC17" t="e">
        <f>AND(#REF!,"AAAAADvtv+w=")</f>
        <v>#REF!</v>
      </c>
      <c r="ID17" t="e">
        <f>AND(#REF!,"AAAAADvtv+0=")</f>
        <v>#REF!</v>
      </c>
      <c r="IE17" t="e">
        <f>AND(#REF!,"AAAAADvtv+4=")</f>
        <v>#REF!</v>
      </c>
      <c r="IF17" t="e">
        <f>AND(#REF!,"AAAAADvtv+8=")</f>
        <v>#REF!</v>
      </c>
      <c r="IG17" t="e">
        <f>AND(#REF!,"AAAAADvtv/A=")</f>
        <v>#REF!</v>
      </c>
      <c r="IH17" t="e">
        <f>AND(#REF!,"AAAAADvtv/E=")</f>
        <v>#REF!</v>
      </c>
      <c r="II17" t="e">
        <f>AND(#REF!,"AAAAADvtv/I=")</f>
        <v>#REF!</v>
      </c>
      <c r="IJ17" t="e">
        <f>AND(#REF!,"AAAAADvtv/M=")</f>
        <v>#REF!</v>
      </c>
      <c r="IK17" t="e">
        <f>AND(#REF!,"AAAAADvtv/Q=")</f>
        <v>#REF!</v>
      </c>
      <c r="IL17" t="e">
        <f>AND(#REF!,"AAAAADvtv/U=")</f>
        <v>#REF!</v>
      </c>
      <c r="IM17" t="e">
        <f>AND(#REF!,"AAAAADvtv/Y=")</f>
        <v>#REF!</v>
      </c>
      <c r="IN17" t="e">
        <f>AND(#REF!,"AAAAADvtv/c=")</f>
        <v>#REF!</v>
      </c>
      <c r="IO17" t="e">
        <f>IF(#REF!,"AAAAADvtv/g=",0)</f>
        <v>#REF!</v>
      </c>
      <c r="IP17" t="e">
        <f>AND(#REF!,"AAAAADvtv/k=")</f>
        <v>#REF!</v>
      </c>
      <c r="IQ17" t="e">
        <f>AND(#REF!,"AAAAADvtv/o=")</f>
        <v>#REF!</v>
      </c>
      <c r="IR17" t="e">
        <f>AND(#REF!,"AAAAADvtv/s=")</f>
        <v>#REF!</v>
      </c>
      <c r="IS17" t="e">
        <f>AND(#REF!,"AAAAADvtv/w=")</f>
        <v>#REF!</v>
      </c>
      <c r="IT17" t="e">
        <f>AND(#REF!,"AAAAADvtv/0=")</f>
        <v>#REF!</v>
      </c>
      <c r="IU17" t="e">
        <f>AND(#REF!,"AAAAADvtv/4=")</f>
        <v>#REF!</v>
      </c>
      <c r="IV17" t="e">
        <f>AND(#REF!,"AAAAADvtv/8=")</f>
        <v>#REF!</v>
      </c>
    </row>
    <row r="18" spans="1:256" x14ac:dyDescent="0.2">
      <c r="A18" t="e">
        <f>AND(#REF!,"AAAAAFqe/QA=")</f>
        <v>#REF!</v>
      </c>
      <c r="B18" t="e">
        <f>AND(#REF!,"AAAAAFqe/QE=")</f>
        <v>#REF!</v>
      </c>
      <c r="C18" t="e">
        <f>AND(#REF!,"AAAAAFqe/QI=")</f>
        <v>#REF!</v>
      </c>
      <c r="D18" t="e">
        <f>AND(#REF!,"AAAAAFqe/QM=")</f>
        <v>#REF!</v>
      </c>
      <c r="E18" t="e">
        <f>AND(#REF!,"AAAAAFqe/QQ=")</f>
        <v>#REF!</v>
      </c>
      <c r="F18" t="e">
        <f>AND(#REF!,"AAAAAFqe/QU=")</f>
        <v>#REF!</v>
      </c>
      <c r="G18" t="e">
        <f>AND(#REF!,"AAAAAFqe/QY=")</f>
        <v>#REF!</v>
      </c>
      <c r="H18" t="e">
        <f>AND(#REF!,"AAAAAFqe/Qc=")</f>
        <v>#REF!</v>
      </c>
      <c r="I18" t="e">
        <f>AND(#REF!,"AAAAAFqe/Qg=")</f>
        <v>#REF!</v>
      </c>
      <c r="J18" t="e">
        <f>AND(#REF!,"AAAAAFqe/Qk=")</f>
        <v>#REF!</v>
      </c>
      <c r="K18" t="e">
        <f>AND(#REF!,"AAAAAFqe/Qo=")</f>
        <v>#REF!</v>
      </c>
      <c r="L18" t="e">
        <f>AND(#REF!,"AAAAAFqe/Qs=")</f>
        <v>#REF!</v>
      </c>
      <c r="M18" t="e">
        <f>AND(#REF!,"AAAAAFqe/Qw=")</f>
        <v>#REF!</v>
      </c>
      <c r="N18" t="e">
        <f>AND(#REF!,"AAAAAFqe/Q0=")</f>
        <v>#REF!</v>
      </c>
      <c r="O18" t="e">
        <f>AND(#REF!,"AAAAAFqe/Q4=")</f>
        <v>#REF!</v>
      </c>
      <c r="P18" t="e">
        <f>AND(#REF!,"AAAAAFqe/Q8=")</f>
        <v>#REF!</v>
      </c>
      <c r="Q18" t="e">
        <f>AND(#REF!,"AAAAAFqe/RA=")</f>
        <v>#REF!</v>
      </c>
      <c r="R18" t="e">
        <f>AND(#REF!,"AAAAAFqe/RE=")</f>
        <v>#REF!</v>
      </c>
      <c r="S18" t="e">
        <f>AND(#REF!,"AAAAAFqe/RI=")</f>
        <v>#REF!</v>
      </c>
      <c r="T18" t="e">
        <f>IF(#REF!,"AAAAAFqe/RM=",0)</f>
        <v>#REF!</v>
      </c>
      <c r="U18" t="e">
        <f>AND(#REF!,"AAAAAFqe/RQ=")</f>
        <v>#REF!</v>
      </c>
      <c r="V18" t="e">
        <f>AND(#REF!,"AAAAAFqe/RU=")</f>
        <v>#REF!</v>
      </c>
      <c r="W18" t="e">
        <f>AND(#REF!,"AAAAAFqe/RY=")</f>
        <v>#REF!</v>
      </c>
      <c r="X18" t="e">
        <f>AND(#REF!,"AAAAAFqe/Rc=")</f>
        <v>#REF!</v>
      </c>
      <c r="Y18" t="e">
        <f>AND(#REF!,"AAAAAFqe/Rg=")</f>
        <v>#REF!</v>
      </c>
      <c r="Z18" t="e">
        <f>AND(#REF!,"AAAAAFqe/Rk=")</f>
        <v>#REF!</v>
      </c>
      <c r="AA18" t="e">
        <f>AND(#REF!,"AAAAAFqe/Ro=")</f>
        <v>#REF!</v>
      </c>
      <c r="AB18" t="e">
        <f>AND(#REF!,"AAAAAFqe/Rs=")</f>
        <v>#REF!</v>
      </c>
      <c r="AC18" t="e">
        <f>AND(#REF!,"AAAAAFqe/Rw=")</f>
        <v>#REF!</v>
      </c>
      <c r="AD18" t="e">
        <f>AND(#REF!,"AAAAAFqe/R0=")</f>
        <v>#REF!</v>
      </c>
      <c r="AE18" t="e">
        <f>AND(#REF!,"AAAAAFqe/R4=")</f>
        <v>#REF!</v>
      </c>
      <c r="AF18" t="e">
        <f>AND(#REF!,"AAAAAFqe/R8=")</f>
        <v>#REF!</v>
      </c>
      <c r="AG18" t="e">
        <f>AND(#REF!,"AAAAAFqe/SA=")</f>
        <v>#REF!</v>
      </c>
      <c r="AH18" t="e">
        <f>AND(#REF!,"AAAAAFqe/SE=")</f>
        <v>#REF!</v>
      </c>
      <c r="AI18" t="e">
        <f>AND(#REF!,"AAAAAFqe/SI=")</f>
        <v>#REF!</v>
      </c>
      <c r="AJ18" t="e">
        <f>AND(#REF!,"AAAAAFqe/SM=")</f>
        <v>#REF!</v>
      </c>
      <c r="AK18" t="e">
        <f>AND(#REF!,"AAAAAFqe/SQ=")</f>
        <v>#REF!</v>
      </c>
      <c r="AL18" t="e">
        <f>AND(#REF!,"AAAAAFqe/SU=")</f>
        <v>#REF!</v>
      </c>
      <c r="AM18" t="e">
        <f>AND(#REF!,"AAAAAFqe/SY=")</f>
        <v>#REF!</v>
      </c>
      <c r="AN18" t="e">
        <f>AND(#REF!,"AAAAAFqe/Sc=")</f>
        <v>#REF!</v>
      </c>
      <c r="AO18" t="e">
        <f>AND(#REF!,"AAAAAFqe/Sg=")</f>
        <v>#REF!</v>
      </c>
      <c r="AP18" t="e">
        <f>AND(#REF!,"AAAAAFqe/Sk=")</f>
        <v>#REF!</v>
      </c>
      <c r="AQ18" t="e">
        <f>AND(#REF!,"AAAAAFqe/So=")</f>
        <v>#REF!</v>
      </c>
      <c r="AR18" t="e">
        <f>AND(#REF!,"AAAAAFqe/Ss=")</f>
        <v>#REF!</v>
      </c>
      <c r="AS18" t="e">
        <f>AND(#REF!,"AAAAAFqe/Sw=")</f>
        <v>#REF!</v>
      </c>
      <c r="AT18" t="e">
        <f>AND(#REF!,"AAAAAFqe/S0=")</f>
        <v>#REF!</v>
      </c>
      <c r="AU18" t="e">
        <f>IF(#REF!,"AAAAAFqe/S4=",0)</f>
        <v>#REF!</v>
      </c>
      <c r="AV18" t="e">
        <f>AND(#REF!,"AAAAAFqe/S8=")</f>
        <v>#REF!</v>
      </c>
      <c r="AW18" t="e">
        <f>AND(#REF!,"AAAAAFqe/TA=")</f>
        <v>#REF!</v>
      </c>
      <c r="AX18" t="e">
        <f>AND(#REF!,"AAAAAFqe/TE=")</f>
        <v>#REF!</v>
      </c>
      <c r="AY18" t="e">
        <f>AND(#REF!,"AAAAAFqe/TI=")</f>
        <v>#REF!</v>
      </c>
      <c r="AZ18" t="e">
        <f>AND(#REF!,"AAAAAFqe/TM=")</f>
        <v>#REF!</v>
      </c>
      <c r="BA18" t="e">
        <f>AND(#REF!,"AAAAAFqe/TQ=")</f>
        <v>#REF!</v>
      </c>
      <c r="BB18" t="e">
        <f>AND(#REF!,"AAAAAFqe/TU=")</f>
        <v>#REF!</v>
      </c>
      <c r="BC18" t="e">
        <f>AND(#REF!,"AAAAAFqe/TY=")</f>
        <v>#REF!</v>
      </c>
      <c r="BD18" t="e">
        <f>AND(#REF!,"AAAAAFqe/Tc=")</f>
        <v>#REF!</v>
      </c>
      <c r="BE18" t="e">
        <f>AND(#REF!,"AAAAAFqe/Tg=")</f>
        <v>#REF!</v>
      </c>
      <c r="BF18" t="e">
        <f>AND(#REF!,"AAAAAFqe/Tk=")</f>
        <v>#REF!</v>
      </c>
      <c r="BG18" t="e">
        <f>AND(#REF!,"AAAAAFqe/To=")</f>
        <v>#REF!</v>
      </c>
      <c r="BH18" t="e">
        <f>AND(#REF!,"AAAAAFqe/Ts=")</f>
        <v>#REF!</v>
      </c>
      <c r="BI18" t="e">
        <f>AND(#REF!,"AAAAAFqe/Tw=")</f>
        <v>#REF!</v>
      </c>
      <c r="BJ18" t="e">
        <f>AND(#REF!,"AAAAAFqe/T0=")</f>
        <v>#REF!</v>
      </c>
      <c r="BK18" t="e">
        <f>AND(#REF!,"AAAAAFqe/T4=")</f>
        <v>#REF!</v>
      </c>
      <c r="BL18" t="e">
        <f>AND(#REF!,"AAAAAFqe/T8=")</f>
        <v>#REF!</v>
      </c>
      <c r="BM18" t="e">
        <f>AND(#REF!,"AAAAAFqe/UA=")</f>
        <v>#REF!</v>
      </c>
      <c r="BN18" t="e">
        <f>AND(#REF!,"AAAAAFqe/UE=")</f>
        <v>#REF!</v>
      </c>
      <c r="BO18" t="e">
        <f>AND(#REF!,"AAAAAFqe/UI=")</f>
        <v>#REF!</v>
      </c>
      <c r="BP18" t="e">
        <f>AND(#REF!,"AAAAAFqe/UM=")</f>
        <v>#REF!</v>
      </c>
      <c r="BQ18" t="e">
        <f>AND(#REF!,"AAAAAFqe/UQ=")</f>
        <v>#REF!</v>
      </c>
      <c r="BR18" t="e">
        <f>AND(#REF!,"AAAAAFqe/UU=")</f>
        <v>#REF!</v>
      </c>
      <c r="BS18" t="e">
        <f>AND(#REF!,"AAAAAFqe/UY=")</f>
        <v>#REF!</v>
      </c>
      <c r="BT18" t="e">
        <f>AND(#REF!,"AAAAAFqe/Uc=")</f>
        <v>#REF!</v>
      </c>
      <c r="BU18" t="e">
        <f>AND(#REF!,"AAAAAFqe/Ug=")</f>
        <v>#REF!</v>
      </c>
      <c r="BV18" t="e">
        <f>IF(#REF!,"AAAAAFqe/Uk=",0)</f>
        <v>#REF!</v>
      </c>
      <c r="BW18" t="e">
        <f>AND(#REF!,"AAAAAFqe/Uo=")</f>
        <v>#REF!</v>
      </c>
      <c r="BX18" t="e">
        <f>AND(#REF!,"AAAAAFqe/Us=")</f>
        <v>#REF!</v>
      </c>
      <c r="BY18" t="e">
        <f>AND(#REF!,"AAAAAFqe/Uw=")</f>
        <v>#REF!</v>
      </c>
      <c r="BZ18" t="e">
        <f>AND(#REF!,"AAAAAFqe/U0=")</f>
        <v>#REF!</v>
      </c>
      <c r="CA18" t="e">
        <f>AND(#REF!,"AAAAAFqe/U4=")</f>
        <v>#REF!</v>
      </c>
      <c r="CB18" t="e">
        <f>AND(#REF!,"AAAAAFqe/U8=")</f>
        <v>#REF!</v>
      </c>
      <c r="CC18" t="e">
        <f>AND(#REF!,"AAAAAFqe/VA=")</f>
        <v>#REF!</v>
      </c>
      <c r="CD18" t="e">
        <f>AND(#REF!,"AAAAAFqe/VE=")</f>
        <v>#REF!</v>
      </c>
      <c r="CE18" t="e">
        <f>AND(#REF!,"AAAAAFqe/VI=")</f>
        <v>#REF!</v>
      </c>
      <c r="CF18" t="e">
        <f>AND(#REF!,"AAAAAFqe/VM=")</f>
        <v>#REF!</v>
      </c>
      <c r="CG18" t="e">
        <f>AND(#REF!,"AAAAAFqe/VQ=")</f>
        <v>#REF!</v>
      </c>
      <c r="CH18" t="e">
        <f>AND(#REF!,"AAAAAFqe/VU=")</f>
        <v>#REF!</v>
      </c>
      <c r="CI18" t="e">
        <f>AND(#REF!,"AAAAAFqe/VY=")</f>
        <v>#REF!</v>
      </c>
      <c r="CJ18" t="e">
        <f>AND(#REF!,"AAAAAFqe/Vc=")</f>
        <v>#REF!</v>
      </c>
      <c r="CK18" t="e">
        <f>AND(#REF!,"AAAAAFqe/Vg=")</f>
        <v>#REF!</v>
      </c>
      <c r="CL18" t="e">
        <f>AND(#REF!,"AAAAAFqe/Vk=")</f>
        <v>#REF!</v>
      </c>
      <c r="CM18" t="e">
        <f>AND(#REF!,"AAAAAFqe/Vo=")</f>
        <v>#REF!</v>
      </c>
      <c r="CN18" t="e">
        <f>AND(#REF!,"AAAAAFqe/Vs=")</f>
        <v>#REF!</v>
      </c>
      <c r="CO18" t="e">
        <f>AND(#REF!,"AAAAAFqe/Vw=")</f>
        <v>#REF!</v>
      </c>
      <c r="CP18" t="e">
        <f>AND(#REF!,"AAAAAFqe/V0=")</f>
        <v>#REF!</v>
      </c>
      <c r="CQ18" t="e">
        <f>AND(#REF!,"AAAAAFqe/V4=")</f>
        <v>#REF!</v>
      </c>
      <c r="CR18" t="e">
        <f>AND(#REF!,"AAAAAFqe/V8=")</f>
        <v>#REF!</v>
      </c>
      <c r="CS18" t="e">
        <f>AND(#REF!,"AAAAAFqe/WA=")</f>
        <v>#REF!</v>
      </c>
      <c r="CT18" t="e">
        <f>AND(#REF!,"AAAAAFqe/WE=")</f>
        <v>#REF!</v>
      </c>
      <c r="CU18" t="e">
        <f>AND(#REF!,"AAAAAFqe/WI=")</f>
        <v>#REF!</v>
      </c>
      <c r="CV18" t="e">
        <f>AND(#REF!,"AAAAAFqe/WM=")</f>
        <v>#REF!</v>
      </c>
      <c r="CW18" t="e">
        <f>IF(#REF!,"AAAAAFqe/WQ=",0)</f>
        <v>#REF!</v>
      </c>
      <c r="CX18" t="e">
        <f>AND(#REF!,"AAAAAFqe/WU=")</f>
        <v>#REF!</v>
      </c>
      <c r="CY18" t="e">
        <f>AND(#REF!,"AAAAAFqe/WY=")</f>
        <v>#REF!</v>
      </c>
      <c r="CZ18" t="e">
        <f>AND(#REF!,"AAAAAFqe/Wc=")</f>
        <v>#REF!</v>
      </c>
      <c r="DA18" t="e">
        <f>AND(#REF!,"AAAAAFqe/Wg=")</f>
        <v>#REF!</v>
      </c>
      <c r="DB18" t="e">
        <f>AND(#REF!,"AAAAAFqe/Wk=")</f>
        <v>#REF!</v>
      </c>
      <c r="DC18" t="e">
        <f>AND(#REF!,"AAAAAFqe/Wo=")</f>
        <v>#REF!</v>
      </c>
      <c r="DD18" t="e">
        <f>AND(#REF!,"AAAAAFqe/Ws=")</f>
        <v>#REF!</v>
      </c>
      <c r="DE18" t="e">
        <f>AND(#REF!,"AAAAAFqe/Ww=")</f>
        <v>#REF!</v>
      </c>
      <c r="DF18" t="e">
        <f>AND(#REF!,"AAAAAFqe/W0=")</f>
        <v>#REF!</v>
      </c>
      <c r="DG18" t="e">
        <f>AND(#REF!,"AAAAAFqe/W4=")</f>
        <v>#REF!</v>
      </c>
      <c r="DH18" t="e">
        <f>AND(#REF!,"AAAAAFqe/W8=")</f>
        <v>#REF!</v>
      </c>
      <c r="DI18" t="e">
        <f>AND(#REF!,"AAAAAFqe/XA=")</f>
        <v>#REF!</v>
      </c>
      <c r="DJ18" t="e">
        <f>AND(#REF!,"AAAAAFqe/XE=")</f>
        <v>#REF!</v>
      </c>
      <c r="DK18" t="e">
        <f>AND(#REF!,"AAAAAFqe/XI=")</f>
        <v>#REF!</v>
      </c>
      <c r="DL18" t="e">
        <f>AND(#REF!,"AAAAAFqe/XM=")</f>
        <v>#REF!</v>
      </c>
      <c r="DM18" t="e">
        <f>AND(#REF!,"AAAAAFqe/XQ=")</f>
        <v>#REF!</v>
      </c>
      <c r="DN18" t="e">
        <f>AND(#REF!,"AAAAAFqe/XU=")</f>
        <v>#REF!</v>
      </c>
      <c r="DO18" t="e">
        <f>AND(#REF!,"AAAAAFqe/XY=")</f>
        <v>#REF!</v>
      </c>
      <c r="DP18" t="e">
        <f>AND(#REF!,"AAAAAFqe/Xc=")</f>
        <v>#REF!</v>
      </c>
      <c r="DQ18" t="e">
        <f>AND(#REF!,"AAAAAFqe/Xg=")</f>
        <v>#REF!</v>
      </c>
      <c r="DR18" t="e">
        <f>AND(#REF!,"AAAAAFqe/Xk=")</f>
        <v>#REF!</v>
      </c>
      <c r="DS18" t="e">
        <f>AND(#REF!,"AAAAAFqe/Xo=")</f>
        <v>#REF!</v>
      </c>
      <c r="DT18" t="e">
        <f>AND(#REF!,"AAAAAFqe/Xs=")</f>
        <v>#REF!</v>
      </c>
      <c r="DU18" t="e">
        <f>AND(#REF!,"AAAAAFqe/Xw=")</f>
        <v>#REF!</v>
      </c>
      <c r="DV18" t="e">
        <f>AND(#REF!,"AAAAAFqe/X0=")</f>
        <v>#REF!</v>
      </c>
      <c r="DW18" t="e">
        <f>AND(#REF!,"AAAAAFqe/X4=")</f>
        <v>#REF!</v>
      </c>
      <c r="DX18" t="e">
        <f>IF(#REF!,"AAAAAFqe/X8=",0)</f>
        <v>#REF!</v>
      </c>
      <c r="DY18" t="e">
        <f>AND(#REF!,"AAAAAFqe/YA=")</f>
        <v>#REF!</v>
      </c>
      <c r="DZ18" t="e">
        <f>AND(#REF!,"AAAAAFqe/YE=")</f>
        <v>#REF!</v>
      </c>
      <c r="EA18" t="e">
        <f>AND(#REF!,"AAAAAFqe/YI=")</f>
        <v>#REF!</v>
      </c>
      <c r="EB18" t="e">
        <f>AND(#REF!,"AAAAAFqe/YM=")</f>
        <v>#REF!</v>
      </c>
      <c r="EC18" t="e">
        <f>AND(#REF!,"AAAAAFqe/YQ=")</f>
        <v>#REF!</v>
      </c>
      <c r="ED18" t="e">
        <f>AND(#REF!,"AAAAAFqe/YU=")</f>
        <v>#REF!</v>
      </c>
      <c r="EE18" t="e">
        <f>AND(#REF!,"AAAAAFqe/YY=")</f>
        <v>#REF!</v>
      </c>
      <c r="EF18" t="e">
        <f>AND(#REF!,"AAAAAFqe/Yc=")</f>
        <v>#REF!</v>
      </c>
      <c r="EG18" t="e">
        <f>AND(#REF!,"AAAAAFqe/Yg=")</f>
        <v>#REF!</v>
      </c>
      <c r="EH18" t="e">
        <f>AND(#REF!,"AAAAAFqe/Yk=")</f>
        <v>#REF!</v>
      </c>
      <c r="EI18" t="e">
        <f>AND(#REF!,"AAAAAFqe/Yo=")</f>
        <v>#REF!</v>
      </c>
      <c r="EJ18" t="e">
        <f>AND(#REF!,"AAAAAFqe/Ys=")</f>
        <v>#REF!</v>
      </c>
      <c r="EK18" t="e">
        <f>AND(#REF!,"AAAAAFqe/Yw=")</f>
        <v>#REF!</v>
      </c>
      <c r="EL18" t="e">
        <f>AND(#REF!,"AAAAAFqe/Y0=")</f>
        <v>#REF!</v>
      </c>
      <c r="EM18" t="e">
        <f>AND(#REF!,"AAAAAFqe/Y4=")</f>
        <v>#REF!</v>
      </c>
      <c r="EN18" t="e">
        <f>AND(#REF!,"AAAAAFqe/Y8=")</f>
        <v>#REF!</v>
      </c>
      <c r="EO18" t="e">
        <f>AND(#REF!,"AAAAAFqe/ZA=")</f>
        <v>#REF!</v>
      </c>
      <c r="EP18" t="e">
        <f>AND(#REF!,"AAAAAFqe/ZE=")</f>
        <v>#REF!</v>
      </c>
      <c r="EQ18" t="e">
        <f>AND(#REF!,"AAAAAFqe/ZI=")</f>
        <v>#REF!</v>
      </c>
      <c r="ER18" t="e">
        <f>AND(#REF!,"AAAAAFqe/ZM=")</f>
        <v>#REF!</v>
      </c>
      <c r="ES18" t="e">
        <f>AND(#REF!,"AAAAAFqe/ZQ=")</f>
        <v>#REF!</v>
      </c>
      <c r="ET18" t="e">
        <f>AND(#REF!,"AAAAAFqe/ZU=")</f>
        <v>#REF!</v>
      </c>
      <c r="EU18" t="e">
        <f>AND(#REF!,"AAAAAFqe/ZY=")</f>
        <v>#REF!</v>
      </c>
      <c r="EV18" t="e">
        <f>AND(#REF!,"AAAAAFqe/Zc=")</f>
        <v>#REF!</v>
      </c>
      <c r="EW18" t="e">
        <f>AND(#REF!,"AAAAAFqe/Zg=")</f>
        <v>#REF!</v>
      </c>
      <c r="EX18" t="e">
        <f>AND(#REF!,"AAAAAFqe/Zk=")</f>
        <v>#REF!</v>
      </c>
      <c r="EY18" t="e">
        <f>IF(#REF!,"AAAAAFqe/Zo=",0)</f>
        <v>#REF!</v>
      </c>
      <c r="EZ18" t="e">
        <f>AND(#REF!,"AAAAAFqe/Zs=")</f>
        <v>#REF!</v>
      </c>
      <c r="FA18" t="e">
        <f>AND(#REF!,"AAAAAFqe/Zw=")</f>
        <v>#REF!</v>
      </c>
      <c r="FB18" t="e">
        <f>AND(#REF!,"AAAAAFqe/Z0=")</f>
        <v>#REF!</v>
      </c>
      <c r="FC18" t="e">
        <f>AND(#REF!,"AAAAAFqe/Z4=")</f>
        <v>#REF!</v>
      </c>
      <c r="FD18" t="e">
        <f>AND(#REF!,"AAAAAFqe/Z8=")</f>
        <v>#REF!</v>
      </c>
      <c r="FE18" t="e">
        <f>AND(#REF!,"AAAAAFqe/aA=")</f>
        <v>#REF!</v>
      </c>
      <c r="FF18" t="e">
        <f>AND(#REF!,"AAAAAFqe/aE=")</f>
        <v>#REF!</v>
      </c>
      <c r="FG18" t="e">
        <f>AND(#REF!,"AAAAAFqe/aI=")</f>
        <v>#REF!</v>
      </c>
      <c r="FH18" t="e">
        <f>AND(#REF!,"AAAAAFqe/aM=")</f>
        <v>#REF!</v>
      </c>
      <c r="FI18" t="e">
        <f>AND(#REF!,"AAAAAFqe/aQ=")</f>
        <v>#REF!</v>
      </c>
      <c r="FJ18" t="e">
        <f>AND(#REF!,"AAAAAFqe/aU=")</f>
        <v>#REF!</v>
      </c>
      <c r="FK18" t="e">
        <f>AND(#REF!,"AAAAAFqe/aY=")</f>
        <v>#REF!</v>
      </c>
      <c r="FL18" t="e">
        <f>AND(#REF!,"AAAAAFqe/ac=")</f>
        <v>#REF!</v>
      </c>
      <c r="FM18" t="e">
        <f>AND(#REF!,"AAAAAFqe/ag=")</f>
        <v>#REF!</v>
      </c>
      <c r="FN18" t="e">
        <f>AND(#REF!,"AAAAAFqe/ak=")</f>
        <v>#REF!</v>
      </c>
      <c r="FO18" t="e">
        <f>AND(#REF!,"AAAAAFqe/ao=")</f>
        <v>#REF!</v>
      </c>
      <c r="FP18" t="e">
        <f>AND(#REF!,"AAAAAFqe/as=")</f>
        <v>#REF!</v>
      </c>
      <c r="FQ18" t="e">
        <f>AND(#REF!,"AAAAAFqe/aw=")</f>
        <v>#REF!</v>
      </c>
      <c r="FR18" t="e">
        <f>AND(#REF!,"AAAAAFqe/a0=")</f>
        <v>#REF!</v>
      </c>
      <c r="FS18" t="e">
        <f>AND(#REF!,"AAAAAFqe/a4=")</f>
        <v>#REF!</v>
      </c>
      <c r="FT18" t="e">
        <f>AND(#REF!,"AAAAAFqe/a8=")</f>
        <v>#REF!</v>
      </c>
      <c r="FU18" t="e">
        <f>AND(#REF!,"AAAAAFqe/bA=")</f>
        <v>#REF!</v>
      </c>
      <c r="FV18" t="e">
        <f>AND(#REF!,"AAAAAFqe/bE=")</f>
        <v>#REF!</v>
      </c>
      <c r="FW18" t="e">
        <f>AND(#REF!,"AAAAAFqe/bI=")</f>
        <v>#REF!</v>
      </c>
      <c r="FX18" t="e">
        <f>AND(#REF!,"AAAAAFqe/bM=")</f>
        <v>#REF!</v>
      </c>
      <c r="FY18" t="e">
        <f>AND(#REF!,"AAAAAFqe/bQ=")</f>
        <v>#REF!</v>
      </c>
      <c r="FZ18" t="e">
        <f>IF(#REF!,"AAAAAFqe/bU=",0)</f>
        <v>#REF!</v>
      </c>
      <c r="GA18" t="e">
        <f>AND(#REF!,"AAAAAFqe/bY=")</f>
        <v>#REF!</v>
      </c>
      <c r="GB18" t="e">
        <f>AND(#REF!,"AAAAAFqe/bc=")</f>
        <v>#REF!</v>
      </c>
      <c r="GC18" t="e">
        <f>AND(#REF!,"AAAAAFqe/bg=")</f>
        <v>#REF!</v>
      </c>
      <c r="GD18" t="e">
        <f>AND(#REF!,"AAAAAFqe/bk=")</f>
        <v>#REF!</v>
      </c>
      <c r="GE18" t="e">
        <f>AND(#REF!,"AAAAAFqe/bo=")</f>
        <v>#REF!</v>
      </c>
      <c r="GF18" t="e">
        <f>AND(#REF!,"AAAAAFqe/bs=")</f>
        <v>#REF!</v>
      </c>
      <c r="GG18" t="e">
        <f>AND(#REF!,"AAAAAFqe/bw=")</f>
        <v>#REF!</v>
      </c>
      <c r="GH18" t="e">
        <f>AND(#REF!,"AAAAAFqe/b0=")</f>
        <v>#REF!</v>
      </c>
      <c r="GI18" t="e">
        <f>AND(#REF!,"AAAAAFqe/b4=")</f>
        <v>#REF!</v>
      </c>
      <c r="GJ18" t="e">
        <f>AND(#REF!,"AAAAAFqe/b8=")</f>
        <v>#REF!</v>
      </c>
      <c r="GK18" t="e">
        <f>AND(#REF!,"AAAAAFqe/cA=")</f>
        <v>#REF!</v>
      </c>
      <c r="GL18" t="e">
        <f>AND(#REF!,"AAAAAFqe/cE=")</f>
        <v>#REF!</v>
      </c>
      <c r="GM18" t="e">
        <f>AND(#REF!,"AAAAAFqe/cI=")</f>
        <v>#REF!</v>
      </c>
      <c r="GN18" t="e">
        <f>AND(#REF!,"AAAAAFqe/cM=")</f>
        <v>#REF!</v>
      </c>
      <c r="GO18" t="e">
        <f>AND(#REF!,"AAAAAFqe/cQ=")</f>
        <v>#REF!</v>
      </c>
      <c r="GP18" t="e">
        <f>AND(#REF!,"AAAAAFqe/cU=")</f>
        <v>#REF!</v>
      </c>
      <c r="GQ18" t="e">
        <f>AND(#REF!,"AAAAAFqe/cY=")</f>
        <v>#REF!</v>
      </c>
      <c r="GR18" t="e">
        <f>AND(#REF!,"AAAAAFqe/cc=")</f>
        <v>#REF!</v>
      </c>
      <c r="GS18" t="e">
        <f>AND(#REF!,"AAAAAFqe/cg=")</f>
        <v>#REF!</v>
      </c>
      <c r="GT18" t="e">
        <f>AND(#REF!,"AAAAAFqe/ck=")</f>
        <v>#REF!</v>
      </c>
      <c r="GU18" t="e">
        <f>AND(#REF!,"AAAAAFqe/co=")</f>
        <v>#REF!</v>
      </c>
      <c r="GV18" t="e">
        <f>AND(#REF!,"AAAAAFqe/cs=")</f>
        <v>#REF!</v>
      </c>
      <c r="GW18" t="e">
        <f>AND(#REF!,"AAAAAFqe/cw=")</f>
        <v>#REF!</v>
      </c>
      <c r="GX18" t="e">
        <f>AND(#REF!,"AAAAAFqe/c0=")</f>
        <v>#REF!</v>
      </c>
      <c r="GY18" t="e">
        <f>AND(#REF!,"AAAAAFqe/c4=")</f>
        <v>#REF!</v>
      </c>
      <c r="GZ18" t="e">
        <f>AND(#REF!,"AAAAAFqe/c8=")</f>
        <v>#REF!</v>
      </c>
      <c r="HA18" t="e">
        <f>IF(#REF!,"AAAAAFqe/dA=",0)</f>
        <v>#REF!</v>
      </c>
      <c r="HB18" t="e">
        <f>AND(#REF!,"AAAAAFqe/dE=")</f>
        <v>#REF!</v>
      </c>
      <c r="HC18" t="e">
        <f>AND(#REF!,"AAAAAFqe/dI=")</f>
        <v>#REF!</v>
      </c>
      <c r="HD18" t="e">
        <f>AND(#REF!,"AAAAAFqe/dM=")</f>
        <v>#REF!</v>
      </c>
      <c r="HE18" t="e">
        <f>AND(#REF!,"AAAAAFqe/dQ=")</f>
        <v>#REF!</v>
      </c>
      <c r="HF18" t="e">
        <f>AND(#REF!,"AAAAAFqe/dU=")</f>
        <v>#REF!</v>
      </c>
      <c r="HG18" t="e">
        <f>AND(#REF!,"AAAAAFqe/dY=")</f>
        <v>#REF!</v>
      </c>
      <c r="HH18" t="e">
        <f>AND(#REF!,"AAAAAFqe/dc=")</f>
        <v>#REF!</v>
      </c>
      <c r="HI18" t="e">
        <f>AND(#REF!,"AAAAAFqe/dg=")</f>
        <v>#REF!</v>
      </c>
      <c r="HJ18" t="e">
        <f>AND(#REF!,"AAAAAFqe/dk=")</f>
        <v>#REF!</v>
      </c>
      <c r="HK18" t="e">
        <f>AND(#REF!,"AAAAAFqe/do=")</f>
        <v>#REF!</v>
      </c>
      <c r="HL18" t="e">
        <f>AND(#REF!,"AAAAAFqe/ds=")</f>
        <v>#REF!</v>
      </c>
      <c r="HM18" t="e">
        <f>AND(#REF!,"AAAAAFqe/dw=")</f>
        <v>#REF!</v>
      </c>
      <c r="HN18" t="e">
        <f>AND(#REF!,"AAAAAFqe/d0=")</f>
        <v>#REF!</v>
      </c>
      <c r="HO18" t="e">
        <f>AND(#REF!,"AAAAAFqe/d4=")</f>
        <v>#REF!</v>
      </c>
      <c r="HP18" t="e">
        <f>AND(#REF!,"AAAAAFqe/d8=")</f>
        <v>#REF!</v>
      </c>
      <c r="HQ18" t="e">
        <f>AND(#REF!,"AAAAAFqe/eA=")</f>
        <v>#REF!</v>
      </c>
      <c r="HR18" t="e">
        <f>AND(#REF!,"AAAAAFqe/eE=")</f>
        <v>#REF!</v>
      </c>
      <c r="HS18" t="e">
        <f>AND(#REF!,"AAAAAFqe/eI=")</f>
        <v>#REF!</v>
      </c>
      <c r="HT18" t="e">
        <f>AND(#REF!,"AAAAAFqe/eM=")</f>
        <v>#REF!</v>
      </c>
      <c r="HU18" t="e">
        <f>AND(#REF!,"AAAAAFqe/eQ=")</f>
        <v>#REF!</v>
      </c>
      <c r="HV18" t="e">
        <f>AND(#REF!,"AAAAAFqe/eU=")</f>
        <v>#REF!</v>
      </c>
      <c r="HW18" t="e">
        <f>AND(#REF!,"AAAAAFqe/eY=")</f>
        <v>#REF!</v>
      </c>
      <c r="HX18" t="e">
        <f>AND(#REF!,"AAAAAFqe/ec=")</f>
        <v>#REF!</v>
      </c>
      <c r="HY18" t="e">
        <f>AND(#REF!,"AAAAAFqe/eg=")</f>
        <v>#REF!</v>
      </c>
      <c r="HZ18" t="e">
        <f>AND(#REF!,"AAAAAFqe/ek=")</f>
        <v>#REF!</v>
      </c>
      <c r="IA18" t="e">
        <f>AND(#REF!,"AAAAAFqe/eo=")</f>
        <v>#REF!</v>
      </c>
      <c r="IB18" t="e">
        <f>IF(#REF!,"AAAAAFqe/es=",0)</f>
        <v>#REF!</v>
      </c>
      <c r="IC18" t="e">
        <f>AND(#REF!,"AAAAAFqe/ew=")</f>
        <v>#REF!</v>
      </c>
      <c r="ID18" t="e">
        <f>AND(#REF!,"AAAAAFqe/e0=")</f>
        <v>#REF!</v>
      </c>
      <c r="IE18" t="e">
        <f>AND(#REF!,"AAAAAFqe/e4=")</f>
        <v>#REF!</v>
      </c>
      <c r="IF18" t="e">
        <f>AND(#REF!,"AAAAAFqe/e8=")</f>
        <v>#REF!</v>
      </c>
      <c r="IG18" t="e">
        <f>AND(#REF!,"AAAAAFqe/fA=")</f>
        <v>#REF!</v>
      </c>
      <c r="IH18" t="e">
        <f>AND(#REF!,"AAAAAFqe/fE=")</f>
        <v>#REF!</v>
      </c>
      <c r="II18" t="e">
        <f>AND(#REF!,"AAAAAFqe/fI=")</f>
        <v>#REF!</v>
      </c>
      <c r="IJ18" t="e">
        <f>AND(#REF!,"AAAAAFqe/fM=")</f>
        <v>#REF!</v>
      </c>
      <c r="IK18" t="e">
        <f>AND(#REF!,"AAAAAFqe/fQ=")</f>
        <v>#REF!</v>
      </c>
      <c r="IL18" t="e">
        <f>AND(#REF!,"AAAAAFqe/fU=")</f>
        <v>#REF!</v>
      </c>
      <c r="IM18" t="e">
        <f>AND(#REF!,"AAAAAFqe/fY=")</f>
        <v>#REF!</v>
      </c>
      <c r="IN18" t="e">
        <f>AND(#REF!,"AAAAAFqe/fc=")</f>
        <v>#REF!</v>
      </c>
      <c r="IO18" t="e">
        <f>AND(#REF!,"AAAAAFqe/fg=")</f>
        <v>#REF!</v>
      </c>
      <c r="IP18" t="e">
        <f>AND(#REF!,"AAAAAFqe/fk=")</f>
        <v>#REF!</v>
      </c>
      <c r="IQ18" t="e">
        <f>AND(#REF!,"AAAAAFqe/fo=")</f>
        <v>#REF!</v>
      </c>
      <c r="IR18" t="e">
        <f>AND(#REF!,"AAAAAFqe/fs=")</f>
        <v>#REF!</v>
      </c>
      <c r="IS18" t="e">
        <f>AND(#REF!,"AAAAAFqe/fw=")</f>
        <v>#REF!</v>
      </c>
      <c r="IT18" t="e">
        <f>AND(#REF!,"AAAAAFqe/f0=")</f>
        <v>#REF!</v>
      </c>
      <c r="IU18" t="e">
        <f>AND(#REF!,"AAAAAFqe/f4=")</f>
        <v>#REF!</v>
      </c>
      <c r="IV18" t="e">
        <f>AND(#REF!,"AAAAAFqe/f8=")</f>
        <v>#REF!</v>
      </c>
    </row>
    <row r="19" spans="1:256" x14ac:dyDescent="0.2">
      <c r="A19" t="e">
        <f>AND(#REF!,"AAAAADjuqwA=")</f>
        <v>#REF!</v>
      </c>
      <c r="B19" t="e">
        <f>AND(#REF!,"AAAAADjuqwE=")</f>
        <v>#REF!</v>
      </c>
      <c r="C19" t="e">
        <f>AND(#REF!,"AAAAADjuqwI=")</f>
        <v>#REF!</v>
      </c>
      <c r="D19" t="e">
        <f>AND(#REF!,"AAAAADjuqwM=")</f>
        <v>#REF!</v>
      </c>
      <c r="E19" t="e">
        <f>AND(#REF!,"AAAAADjuqwQ=")</f>
        <v>#REF!</v>
      </c>
      <c r="F19" t="e">
        <f>AND(#REF!,"AAAAADjuqwU=")</f>
        <v>#REF!</v>
      </c>
      <c r="G19" t="e">
        <f>IF(#REF!,"AAAAADjuqwY=",0)</f>
        <v>#REF!</v>
      </c>
      <c r="H19" t="e">
        <f>AND(#REF!,"AAAAADjuqwc=")</f>
        <v>#REF!</v>
      </c>
      <c r="I19" t="e">
        <f>AND(#REF!,"AAAAADjuqwg=")</f>
        <v>#REF!</v>
      </c>
      <c r="J19" t="e">
        <f>AND(#REF!,"AAAAADjuqwk=")</f>
        <v>#REF!</v>
      </c>
      <c r="K19" t="e">
        <f>AND(#REF!,"AAAAADjuqwo=")</f>
        <v>#REF!</v>
      </c>
      <c r="L19" t="e">
        <f>AND(#REF!,"AAAAADjuqws=")</f>
        <v>#REF!</v>
      </c>
      <c r="M19" t="e">
        <f>AND(#REF!,"AAAAADjuqww=")</f>
        <v>#REF!</v>
      </c>
      <c r="N19" t="e">
        <f>AND(#REF!,"AAAAADjuqw0=")</f>
        <v>#REF!</v>
      </c>
      <c r="O19" t="e">
        <f>AND(#REF!,"AAAAADjuqw4=")</f>
        <v>#REF!</v>
      </c>
      <c r="P19" t="e">
        <f>AND(#REF!,"AAAAADjuqw8=")</f>
        <v>#REF!</v>
      </c>
      <c r="Q19" t="e">
        <f>AND(#REF!,"AAAAADjuqxA=")</f>
        <v>#REF!</v>
      </c>
      <c r="R19" t="e">
        <f>AND(#REF!,"AAAAADjuqxE=")</f>
        <v>#REF!</v>
      </c>
      <c r="S19" t="e">
        <f>AND(#REF!,"AAAAADjuqxI=")</f>
        <v>#REF!</v>
      </c>
      <c r="T19" t="e">
        <f>AND(#REF!,"AAAAADjuqxM=")</f>
        <v>#REF!</v>
      </c>
      <c r="U19" t="e">
        <f>AND(#REF!,"AAAAADjuqxQ=")</f>
        <v>#REF!</v>
      </c>
      <c r="V19" t="e">
        <f>AND(#REF!,"AAAAADjuqxU=")</f>
        <v>#REF!</v>
      </c>
      <c r="W19" t="e">
        <f>AND(#REF!,"AAAAADjuqxY=")</f>
        <v>#REF!</v>
      </c>
      <c r="X19" t="e">
        <f>AND(#REF!,"AAAAADjuqxc=")</f>
        <v>#REF!</v>
      </c>
      <c r="Y19" t="e">
        <f>AND(#REF!,"AAAAADjuqxg=")</f>
        <v>#REF!</v>
      </c>
      <c r="Z19" t="e">
        <f>AND(#REF!,"AAAAADjuqxk=")</f>
        <v>#REF!</v>
      </c>
      <c r="AA19" t="e">
        <f>AND(#REF!,"AAAAADjuqxo=")</f>
        <v>#REF!</v>
      </c>
      <c r="AB19" t="e">
        <f>AND(#REF!,"AAAAADjuqxs=")</f>
        <v>#REF!</v>
      </c>
      <c r="AC19" t="e">
        <f>AND(#REF!,"AAAAADjuqxw=")</f>
        <v>#REF!</v>
      </c>
      <c r="AD19" t="e">
        <f>AND(#REF!,"AAAAADjuqx0=")</f>
        <v>#REF!</v>
      </c>
      <c r="AE19" t="e">
        <f>AND(#REF!,"AAAAADjuqx4=")</f>
        <v>#REF!</v>
      </c>
      <c r="AF19" t="e">
        <f>AND(#REF!,"AAAAADjuqx8=")</f>
        <v>#REF!</v>
      </c>
      <c r="AG19" t="e">
        <f>AND(#REF!,"AAAAADjuqyA=")</f>
        <v>#REF!</v>
      </c>
      <c r="AH19" t="e">
        <f>IF(#REF!,"AAAAADjuqyE=",0)</f>
        <v>#REF!</v>
      </c>
      <c r="AI19" t="e">
        <f>AND(#REF!,"AAAAADjuqyI=")</f>
        <v>#REF!</v>
      </c>
      <c r="AJ19" t="e">
        <f>AND(#REF!,"AAAAADjuqyM=")</f>
        <v>#REF!</v>
      </c>
      <c r="AK19" t="e">
        <f>AND(#REF!,"AAAAADjuqyQ=")</f>
        <v>#REF!</v>
      </c>
      <c r="AL19" t="e">
        <f>AND(#REF!,"AAAAADjuqyU=")</f>
        <v>#REF!</v>
      </c>
      <c r="AM19" t="e">
        <f>AND(#REF!,"AAAAADjuqyY=")</f>
        <v>#REF!</v>
      </c>
      <c r="AN19" t="e">
        <f>AND(#REF!,"AAAAADjuqyc=")</f>
        <v>#REF!</v>
      </c>
      <c r="AO19" t="e">
        <f>AND(#REF!,"AAAAADjuqyg=")</f>
        <v>#REF!</v>
      </c>
      <c r="AP19" t="e">
        <f>AND(#REF!,"AAAAADjuqyk=")</f>
        <v>#REF!</v>
      </c>
      <c r="AQ19" t="e">
        <f>AND(#REF!,"AAAAADjuqyo=")</f>
        <v>#REF!</v>
      </c>
      <c r="AR19" t="e">
        <f>AND(#REF!,"AAAAADjuqys=")</f>
        <v>#REF!</v>
      </c>
      <c r="AS19" t="e">
        <f>AND(#REF!,"AAAAADjuqyw=")</f>
        <v>#REF!</v>
      </c>
      <c r="AT19" t="e">
        <f>AND(#REF!,"AAAAADjuqy0=")</f>
        <v>#REF!</v>
      </c>
      <c r="AU19" t="e">
        <f>AND(#REF!,"AAAAADjuqy4=")</f>
        <v>#REF!</v>
      </c>
      <c r="AV19" t="e">
        <f>AND(#REF!,"AAAAADjuqy8=")</f>
        <v>#REF!</v>
      </c>
      <c r="AW19" t="e">
        <f>AND(#REF!,"AAAAADjuqzA=")</f>
        <v>#REF!</v>
      </c>
      <c r="AX19" t="e">
        <f>AND(#REF!,"AAAAADjuqzE=")</f>
        <v>#REF!</v>
      </c>
      <c r="AY19" t="e">
        <f>AND(#REF!,"AAAAADjuqzI=")</f>
        <v>#REF!</v>
      </c>
      <c r="AZ19" t="e">
        <f>AND(#REF!,"AAAAADjuqzM=")</f>
        <v>#REF!</v>
      </c>
      <c r="BA19" t="e">
        <f>AND(#REF!,"AAAAADjuqzQ=")</f>
        <v>#REF!</v>
      </c>
      <c r="BB19" t="e">
        <f>AND(#REF!,"AAAAADjuqzU=")</f>
        <v>#REF!</v>
      </c>
      <c r="BC19" t="e">
        <f>AND(#REF!,"AAAAADjuqzY=")</f>
        <v>#REF!</v>
      </c>
      <c r="BD19" t="e">
        <f>AND(#REF!,"AAAAADjuqzc=")</f>
        <v>#REF!</v>
      </c>
      <c r="BE19" t="e">
        <f>AND(#REF!,"AAAAADjuqzg=")</f>
        <v>#REF!</v>
      </c>
      <c r="BF19" t="e">
        <f>AND(#REF!,"AAAAADjuqzk=")</f>
        <v>#REF!</v>
      </c>
      <c r="BG19" t="e">
        <f>AND(#REF!,"AAAAADjuqzo=")</f>
        <v>#REF!</v>
      </c>
      <c r="BH19" t="e">
        <f>AND(#REF!,"AAAAADjuqzs=")</f>
        <v>#REF!</v>
      </c>
      <c r="BI19" t="e">
        <f>IF(#REF!,"AAAAADjuqzw=",0)</f>
        <v>#REF!</v>
      </c>
      <c r="BJ19" t="e">
        <f>AND(#REF!,"AAAAADjuqz0=")</f>
        <v>#REF!</v>
      </c>
      <c r="BK19" t="e">
        <f>AND(#REF!,"AAAAADjuqz4=")</f>
        <v>#REF!</v>
      </c>
      <c r="BL19" t="e">
        <f>AND(#REF!,"AAAAADjuqz8=")</f>
        <v>#REF!</v>
      </c>
      <c r="BM19" t="e">
        <f>AND(#REF!,"AAAAADjuq0A=")</f>
        <v>#REF!</v>
      </c>
      <c r="BN19" t="e">
        <f>AND(#REF!,"AAAAADjuq0E=")</f>
        <v>#REF!</v>
      </c>
      <c r="BO19" t="e">
        <f>AND(#REF!,"AAAAADjuq0I=")</f>
        <v>#REF!</v>
      </c>
      <c r="BP19" t="e">
        <f>AND(#REF!,"AAAAADjuq0M=")</f>
        <v>#REF!</v>
      </c>
      <c r="BQ19" t="e">
        <f>AND(#REF!,"AAAAADjuq0Q=")</f>
        <v>#REF!</v>
      </c>
      <c r="BR19" t="e">
        <f>AND(#REF!,"AAAAADjuq0U=")</f>
        <v>#REF!</v>
      </c>
      <c r="BS19" t="e">
        <f>AND(#REF!,"AAAAADjuq0Y=")</f>
        <v>#REF!</v>
      </c>
      <c r="BT19" t="e">
        <f>AND(#REF!,"AAAAADjuq0c=")</f>
        <v>#REF!</v>
      </c>
      <c r="BU19" t="e">
        <f>AND(#REF!,"AAAAADjuq0g=")</f>
        <v>#REF!</v>
      </c>
      <c r="BV19" t="e">
        <f>AND(#REF!,"AAAAADjuq0k=")</f>
        <v>#REF!</v>
      </c>
      <c r="BW19" t="e">
        <f>AND(#REF!,"AAAAADjuq0o=")</f>
        <v>#REF!</v>
      </c>
      <c r="BX19" t="e">
        <f>AND(#REF!,"AAAAADjuq0s=")</f>
        <v>#REF!</v>
      </c>
      <c r="BY19" t="e">
        <f>AND(#REF!,"AAAAADjuq0w=")</f>
        <v>#REF!</v>
      </c>
      <c r="BZ19" t="e">
        <f>AND(#REF!,"AAAAADjuq00=")</f>
        <v>#REF!</v>
      </c>
      <c r="CA19" t="e">
        <f>AND(#REF!,"AAAAADjuq04=")</f>
        <v>#REF!</v>
      </c>
      <c r="CB19" t="e">
        <f>AND(#REF!,"AAAAADjuq08=")</f>
        <v>#REF!</v>
      </c>
      <c r="CC19" t="e">
        <f>AND(#REF!,"AAAAADjuq1A=")</f>
        <v>#REF!</v>
      </c>
      <c r="CD19" t="e">
        <f>AND(#REF!,"AAAAADjuq1E=")</f>
        <v>#REF!</v>
      </c>
      <c r="CE19" t="e">
        <f>AND(#REF!,"AAAAADjuq1I=")</f>
        <v>#REF!</v>
      </c>
      <c r="CF19" t="e">
        <f>AND(#REF!,"AAAAADjuq1M=")</f>
        <v>#REF!</v>
      </c>
      <c r="CG19" t="e">
        <f>AND(#REF!,"AAAAADjuq1Q=")</f>
        <v>#REF!</v>
      </c>
      <c r="CH19" t="e">
        <f>AND(#REF!,"AAAAADjuq1U=")</f>
        <v>#REF!</v>
      </c>
      <c r="CI19" t="e">
        <f>AND(#REF!,"AAAAADjuq1Y=")</f>
        <v>#REF!</v>
      </c>
      <c r="CJ19" t="e">
        <f>IF(#REF!,"AAAAADjuq1c=",0)</f>
        <v>#REF!</v>
      </c>
      <c r="CK19" t="e">
        <f>AND(#REF!,"AAAAADjuq1g=")</f>
        <v>#REF!</v>
      </c>
      <c r="CL19" t="e">
        <f>AND(#REF!,"AAAAADjuq1k=")</f>
        <v>#REF!</v>
      </c>
      <c r="CM19" t="e">
        <f>AND(#REF!,"AAAAADjuq1o=")</f>
        <v>#REF!</v>
      </c>
      <c r="CN19" t="e">
        <f>AND(#REF!,"AAAAADjuq1s=")</f>
        <v>#REF!</v>
      </c>
      <c r="CO19" t="e">
        <f>AND(#REF!,"AAAAADjuq1w=")</f>
        <v>#REF!</v>
      </c>
      <c r="CP19" t="e">
        <f>AND(#REF!,"AAAAADjuq10=")</f>
        <v>#REF!</v>
      </c>
      <c r="CQ19" t="e">
        <f>AND(#REF!,"AAAAADjuq14=")</f>
        <v>#REF!</v>
      </c>
      <c r="CR19" t="e">
        <f>AND(#REF!,"AAAAADjuq18=")</f>
        <v>#REF!</v>
      </c>
      <c r="CS19" t="e">
        <f>AND(#REF!,"AAAAADjuq2A=")</f>
        <v>#REF!</v>
      </c>
      <c r="CT19" t="e">
        <f>AND(#REF!,"AAAAADjuq2E=")</f>
        <v>#REF!</v>
      </c>
      <c r="CU19" t="e">
        <f>AND(#REF!,"AAAAADjuq2I=")</f>
        <v>#REF!</v>
      </c>
      <c r="CV19" t="e">
        <f>AND(#REF!,"AAAAADjuq2M=")</f>
        <v>#REF!</v>
      </c>
      <c r="CW19" t="e">
        <f>AND(#REF!,"AAAAADjuq2Q=")</f>
        <v>#REF!</v>
      </c>
      <c r="CX19" t="e">
        <f>AND(#REF!,"AAAAADjuq2U=")</f>
        <v>#REF!</v>
      </c>
      <c r="CY19" t="e">
        <f>AND(#REF!,"AAAAADjuq2Y=")</f>
        <v>#REF!</v>
      </c>
      <c r="CZ19" t="e">
        <f>AND(#REF!,"AAAAADjuq2c=")</f>
        <v>#REF!</v>
      </c>
      <c r="DA19" t="e">
        <f>AND(#REF!,"AAAAADjuq2g=")</f>
        <v>#REF!</v>
      </c>
      <c r="DB19" t="e">
        <f>AND(#REF!,"AAAAADjuq2k=")</f>
        <v>#REF!</v>
      </c>
      <c r="DC19" t="e">
        <f>AND(#REF!,"AAAAADjuq2o=")</f>
        <v>#REF!</v>
      </c>
      <c r="DD19" t="e">
        <f>AND(#REF!,"AAAAADjuq2s=")</f>
        <v>#REF!</v>
      </c>
      <c r="DE19" t="e">
        <f>AND(#REF!,"AAAAADjuq2w=")</f>
        <v>#REF!</v>
      </c>
      <c r="DF19" t="e">
        <f>AND(#REF!,"AAAAADjuq20=")</f>
        <v>#REF!</v>
      </c>
      <c r="DG19" t="e">
        <f>AND(#REF!,"AAAAADjuq24=")</f>
        <v>#REF!</v>
      </c>
      <c r="DH19" t="e">
        <f>AND(#REF!,"AAAAADjuq28=")</f>
        <v>#REF!</v>
      </c>
      <c r="DI19" t="e">
        <f>AND(#REF!,"AAAAADjuq3A=")</f>
        <v>#REF!</v>
      </c>
      <c r="DJ19" t="e">
        <f>AND(#REF!,"AAAAADjuq3E=")</f>
        <v>#REF!</v>
      </c>
      <c r="DK19" t="e">
        <f>IF(#REF!,"AAAAADjuq3I=",0)</f>
        <v>#REF!</v>
      </c>
      <c r="DL19" t="e">
        <f>AND(#REF!,"AAAAADjuq3M=")</f>
        <v>#REF!</v>
      </c>
      <c r="DM19" t="e">
        <f>AND(#REF!,"AAAAADjuq3Q=")</f>
        <v>#REF!</v>
      </c>
      <c r="DN19" t="e">
        <f>AND(#REF!,"AAAAADjuq3U=")</f>
        <v>#REF!</v>
      </c>
      <c r="DO19" t="e">
        <f>AND(#REF!,"AAAAADjuq3Y=")</f>
        <v>#REF!</v>
      </c>
      <c r="DP19" t="e">
        <f>AND(#REF!,"AAAAADjuq3c=")</f>
        <v>#REF!</v>
      </c>
      <c r="DQ19" t="e">
        <f>AND(#REF!,"AAAAADjuq3g=")</f>
        <v>#REF!</v>
      </c>
      <c r="DR19" t="e">
        <f>AND(#REF!,"AAAAADjuq3k=")</f>
        <v>#REF!</v>
      </c>
      <c r="DS19" t="e">
        <f>AND(#REF!,"AAAAADjuq3o=")</f>
        <v>#REF!</v>
      </c>
      <c r="DT19" t="e">
        <f>AND(#REF!,"AAAAADjuq3s=")</f>
        <v>#REF!</v>
      </c>
      <c r="DU19" t="e">
        <f>AND(#REF!,"AAAAADjuq3w=")</f>
        <v>#REF!</v>
      </c>
      <c r="DV19" t="e">
        <f>AND(#REF!,"AAAAADjuq30=")</f>
        <v>#REF!</v>
      </c>
      <c r="DW19" t="e">
        <f>AND(#REF!,"AAAAADjuq34=")</f>
        <v>#REF!</v>
      </c>
      <c r="DX19" t="e">
        <f>AND(#REF!,"AAAAADjuq38=")</f>
        <v>#REF!</v>
      </c>
      <c r="DY19" t="e">
        <f>AND(#REF!,"AAAAADjuq4A=")</f>
        <v>#REF!</v>
      </c>
      <c r="DZ19" t="e">
        <f>AND(#REF!,"AAAAADjuq4E=")</f>
        <v>#REF!</v>
      </c>
      <c r="EA19" t="e">
        <f>AND(#REF!,"AAAAADjuq4I=")</f>
        <v>#REF!</v>
      </c>
      <c r="EB19" t="e">
        <f>AND(#REF!,"AAAAADjuq4M=")</f>
        <v>#REF!</v>
      </c>
      <c r="EC19" t="e">
        <f>AND(#REF!,"AAAAADjuq4Q=")</f>
        <v>#REF!</v>
      </c>
      <c r="ED19" t="e">
        <f>AND(#REF!,"AAAAADjuq4U=")</f>
        <v>#REF!</v>
      </c>
      <c r="EE19" t="e">
        <f>AND(#REF!,"AAAAADjuq4Y=")</f>
        <v>#REF!</v>
      </c>
      <c r="EF19" t="e">
        <f>AND(#REF!,"AAAAADjuq4c=")</f>
        <v>#REF!</v>
      </c>
      <c r="EG19" t="e">
        <f>AND(#REF!,"AAAAADjuq4g=")</f>
        <v>#REF!</v>
      </c>
      <c r="EH19" t="e">
        <f>AND(#REF!,"AAAAADjuq4k=")</f>
        <v>#REF!</v>
      </c>
      <c r="EI19" t="e">
        <f>AND(#REF!,"AAAAADjuq4o=")</f>
        <v>#REF!</v>
      </c>
      <c r="EJ19" t="e">
        <f>AND(#REF!,"AAAAADjuq4s=")</f>
        <v>#REF!</v>
      </c>
      <c r="EK19" t="e">
        <f>AND(#REF!,"AAAAADjuq4w=")</f>
        <v>#REF!</v>
      </c>
      <c r="EL19" t="e">
        <f>IF(#REF!,"AAAAADjuq40=",0)</f>
        <v>#REF!</v>
      </c>
      <c r="EM19" t="e">
        <f>AND(#REF!,"AAAAADjuq44=")</f>
        <v>#REF!</v>
      </c>
      <c r="EN19" t="e">
        <f>AND(#REF!,"AAAAADjuq48=")</f>
        <v>#REF!</v>
      </c>
      <c r="EO19" t="e">
        <f>AND(#REF!,"AAAAADjuq5A=")</f>
        <v>#REF!</v>
      </c>
      <c r="EP19" t="e">
        <f>AND(#REF!,"AAAAADjuq5E=")</f>
        <v>#REF!</v>
      </c>
      <c r="EQ19" t="e">
        <f>AND(#REF!,"AAAAADjuq5I=")</f>
        <v>#REF!</v>
      </c>
      <c r="ER19" t="e">
        <f>AND(#REF!,"AAAAADjuq5M=")</f>
        <v>#REF!</v>
      </c>
      <c r="ES19" t="e">
        <f>AND(#REF!,"AAAAADjuq5Q=")</f>
        <v>#REF!</v>
      </c>
      <c r="ET19" t="e">
        <f>AND(#REF!,"AAAAADjuq5U=")</f>
        <v>#REF!</v>
      </c>
      <c r="EU19" t="e">
        <f>AND(#REF!,"AAAAADjuq5Y=")</f>
        <v>#REF!</v>
      </c>
      <c r="EV19" t="e">
        <f>AND(#REF!,"AAAAADjuq5c=")</f>
        <v>#REF!</v>
      </c>
      <c r="EW19" t="e">
        <f>AND(#REF!,"AAAAADjuq5g=")</f>
        <v>#REF!</v>
      </c>
      <c r="EX19" t="e">
        <f>AND(#REF!,"AAAAADjuq5k=")</f>
        <v>#REF!</v>
      </c>
      <c r="EY19" t="e">
        <f>AND(#REF!,"AAAAADjuq5o=")</f>
        <v>#REF!</v>
      </c>
      <c r="EZ19" t="e">
        <f>AND(#REF!,"AAAAADjuq5s=")</f>
        <v>#REF!</v>
      </c>
      <c r="FA19" t="e">
        <f>AND(#REF!,"AAAAADjuq5w=")</f>
        <v>#REF!</v>
      </c>
      <c r="FB19" t="e">
        <f>AND(#REF!,"AAAAADjuq50=")</f>
        <v>#REF!</v>
      </c>
      <c r="FC19" t="e">
        <f>AND(#REF!,"AAAAADjuq54=")</f>
        <v>#REF!</v>
      </c>
      <c r="FD19" t="e">
        <f>AND(#REF!,"AAAAADjuq58=")</f>
        <v>#REF!</v>
      </c>
      <c r="FE19" t="e">
        <f>AND(#REF!,"AAAAADjuq6A=")</f>
        <v>#REF!</v>
      </c>
      <c r="FF19" t="e">
        <f>AND(#REF!,"AAAAADjuq6E=")</f>
        <v>#REF!</v>
      </c>
      <c r="FG19" t="e">
        <f>AND(#REF!,"AAAAADjuq6I=")</f>
        <v>#REF!</v>
      </c>
      <c r="FH19" t="e">
        <f>AND(#REF!,"AAAAADjuq6M=")</f>
        <v>#REF!</v>
      </c>
      <c r="FI19" t="e">
        <f>AND(#REF!,"AAAAADjuq6Q=")</f>
        <v>#REF!</v>
      </c>
      <c r="FJ19" t="e">
        <f>AND(#REF!,"AAAAADjuq6U=")</f>
        <v>#REF!</v>
      </c>
      <c r="FK19" t="e">
        <f>AND(#REF!,"AAAAADjuq6Y=")</f>
        <v>#REF!</v>
      </c>
      <c r="FL19" t="e">
        <f>AND(#REF!,"AAAAADjuq6c=")</f>
        <v>#REF!</v>
      </c>
      <c r="FM19" t="e">
        <f>IF(#REF!,"AAAAADjuq6g=",0)</f>
        <v>#REF!</v>
      </c>
      <c r="FN19" t="e">
        <f>AND(#REF!,"AAAAADjuq6k=")</f>
        <v>#REF!</v>
      </c>
      <c r="FO19" t="e">
        <f>AND(#REF!,"AAAAADjuq6o=")</f>
        <v>#REF!</v>
      </c>
      <c r="FP19" t="e">
        <f>AND(#REF!,"AAAAADjuq6s=")</f>
        <v>#REF!</v>
      </c>
      <c r="FQ19" t="e">
        <f>AND(#REF!,"AAAAADjuq6w=")</f>
        <v>#REF!</v>
      </c>
      <c r="FR19" t="e">
        <f>AND(#REF!,"AAAAADjuq60=")</f>
        <v>#REF!</v>
      </c>
      <c r="FS19" t="e">
        <f>AND(#REF!,"AAAAADjuq64=")</f>
        <v>#REF!</v>
      </c>
      <c r="FT19" t="e">
        <f>AND(#REF!,"AAAAADjuq68=")</f>
        <v>#REF!</v>
      </c>
      <c r="FU19" t="e">
        <f>AND(#REF!,"AAAAADjuq7A=")</f>
        <v>#REF!</v>
      </c>
      <c r="FV19" t="e">
        <f>AND(#REF!,"AAAAADjuq7E=")</f>
        <v>#REF!</v>
      </c>
      <c r="FW19" t="e">
        <f>AND(#REF!,"AAAAADjuq7I=")</f>
        <v>#REF!</v>
      </c>
      <c r="FX19" t="e">
        <f>AND(#REF!,"AAAAADjuq7M=")</f>
        <v>#REF!</v>
      </c>
      <c r="FY19" t="e">
        <f>AND(#REF!,"AAAAADjuq7Q=")</f>
        <v>#REF!</v>
      </c>
      <c r="FZ19" t="e">
        <f>AND(#REF!,"AAAAADjuq7U=")</f>
        <v>#REF!</v>
      </c>
      <c r="GA19" t="e">
        <f>AND(#REF!,"AAAAADjuq7Y=")</f>
        <v>#REF!</v>
      </c>
      <c r="GB19" t="e">
        <f>AND(#REF!,"AAAAADjuq7c=")</f>
        <v>#REF!</v>
      </c>
      <c r="GC19" t="e">
        <f>AND(#REF!,"AAAAADjuq7g=")</f>
        <v>#REF!</v>
      </c>
      <c r="GD19" t="e">
        <f>AND(#REF!,"AAAAADjuq7k=")</f>
        <v>#REF!</v>
      </c>
      <c r="GE19" t="e">
        <f>AND(#REF!,"AAAAADjuq7o=")</f>
        <v>#REF!</v>
      </c>
      <c r="GF19" t="e">
        <f>AND(#REF!,"AAAAADjuq7s=")</f>
        <v>#REF!</v>
      </c>
      <c r="GG19" t="e">
        <f>AND(#REF!,"AAAAADjuq7w=")</f>
        <v>#REF!</v>
      </c>
      <c r="GH19" t="e">
        <f>AND(#REF!,"AAAAADjuq70=")</f>
        <v>#REF!</v>
      </c>
      <c r="GI19" t="e">
        <f>AND(#REF!,"AAAAADjuq74=")</f>
        <v>#REF!</v>
      </c>
      <c r="GJ19" t="e">
        <f>AND(#REF!,"AAAAADjuq78=")</f>
        <v>#REF!</v>
      </c>
      <c r="GK19" t="e">
        <f>AND(#REF!,"AAAAADjuq8A=")</f>
        <v>#REF!</v>
      </c>
      <c r="GL19" t="e">
        <f>AND(#REF!,"AAAAADjuq8E=")</f>
        <v>#REF!</v>
      </c>
      <c r="GM19" t="e">
        <f>AND(#REF!,"AAAAADjuq8I=")</f>
        <v>#REF!</v>
      </c>
      <c r="GN19" t="e">
        <f>IF(#REF!,"AAAAADjuq8M=",0)</f>
        <v>#REF!</v>
      </c>
      <c r="GO19" t="e">
        <f>AND(#REF!,"AAAAADjuq8Q=")</f>
        <v>#REF!</v>
      </c>
      <c r="GP19" t="e">
        <f>AND(#REF!,"AAAAADjuq8U=")</f>
        <v>#REF!</v>
      </c>
      <c r="GQ19" t="e">
        <f>AND(#REF!,"AAAAADjuq8Y=")</f>
        <v>#REF!</v>
      </c>
      <c r="GR19" t="e">
        <f>AND(#REF!,"AAAAADjuq8c=")</f>
        <v>#REF!</v>
      </c>
      <c r="GS19" t="e">
        <f>AND(#REF!,"AAAAADjuq8g=")</f>
        <v>#REF!</v>
      </c>
      <c r="GT19" t="e">
        <f>AND(#REF!,"AAAAADjuq8k=")</f>
        <v>#REF!</v>
      </c>
      <c r="GU19" t="e">
        <f>AND(#REF!,"AAAAADjuq8o=")</f>
        <v>#REF!</v>
      </c>
      <c r="GV19" t="e">
        <f>AND(#REF!,"AAAAADjuq8s=")</f>
        <v>#REF!</v>
      </c>
      <c r="GW19" t="e">
        <f>AND(#REF!,"AAAAADjuq8w=")</f>
        <v>#REF!</v>
      </c>
      <c r="GX19" t="e">
        <f>AND(#REF!,"AAAAADjuq80=")</f>
        <v>#REF!</v>
      </c>
      <c r="GY19" t="e">
        <f>AND(#REF!,"AAAAADjuq84=")</f>
        <v>#REF!</v>
      </c>
      <c r="GZ19" t="e">
        <f>AND(#REF!,"AAAAADjuq88=")</f>
        <v>#REF!</v>
      </c>
      <c r="HA19" t="e">
        <f>AND(#REF!,"AAAAADjuq9A=")</f>
        <v>#REF!</v>
      </c>
      <c r="HB19" t="e">
        <f>AND(#REF!,"AAAAADjuq9E=")</f>
        <v>#REF!</v>
      </c>
      <c r="HC19" t="e">
        <f>AND(#REF!,"AAAAADjuq9I=")</f>
        <v>#REF!</v>
      </c>
      <c r="HD19" t="e">
        <f>AND(#REF!,"AAAAADjuq9M=")</f>
        <v>#REF!</v>
      </c>
      <c r="HE19" t="e">
        <f>AND(#REF!,"AAAAADjuq9Q=")</f>
        <v>#REF!</v>
      </c>
      <c r="HF19" t="e">
        <f>AND(#REF!,"AAAAADjuq9U=")</f>
        <v>#REF!</v>
      </c>
      <c r="HG19" t="e">
        <f>AND(#REF!,"AAAAADjuq9Y=")</f>
        <v>#REF!</v>
      </c>
      <c r="HH19" t="e">
        <f>AND(#REF!,"AAAAADjuq9c=")</f>
        <v>#REF!</v>
      </c>
      <c r="HI19" t="e">
        <f>AND(#REF!,"AAAAADjuq9g=")</f>
        <v>#REF!</v>
      </c>
      <c r="HJ19" t="e">
        <f>AND(#REF!,"AAAAADjuq9k=")</f>
        <v>#REF!</v>
      </c>
      <c r="HK19" t="e">
        <f>AND(#REF!,"AAAAADjuq9o=")</f>
        <v>#REF!</v>
      </c>
      <c r="HL19" t="e">
        <f>AND(#REF!,"AAAAADjuq9s=")</f>
        <v>#REF!</v>
      </c>
      <c r="HM19" t="e">
        <f>AND(#REF!,"AAAAADjuq9w=")</f>
        <v>#REF!</v>
      </c>
      <c r="HN19" t="e">
        <f>AND(#REF!,"AAAAADjuq90=")</f>
        <v>#REF!</v>
      </c>
      <c r="HO19" t="e">
        <f>IF(#REF!,"AAAAADjuq94=",0)</f>
        <v>#REF!</v>
      </c>
      <c r="HP19" t="e">
        <f>AND(#REF!,"AAAAADjuq98=")</f>
        <v>#REF!</v>
      </c>
      <c r="HQ19" t="e">
        <f>AND(#REF!,"AAAAADjuq+A=")</f>
        <v>#REF!</v>
      </c>
      <c r="HR19" t="e">
        <f>AND(#REF!,"AAAAADjuq+E=")</f>
        <v>#REF!</v>
      </c>
      <c r="HS19" t="e">
        <f>AND(#REF!,"AAAAADjuq+I=")</f>
        <v>#REF!</v>
      </c>
      <c r="HT19" t="e">
        <f>AND(#REF!,"AAAAADjuq+M=")</f>
        <v>#REF!</v>
      </c>
      <c r="HU19" t="e">
        <f>AND(#REF!,"AAAAADjuq+Q=")</f>
        <v>#REF!</v>
      </c>
      <c r="HV19" t="e">
        <f>AND(#REF!,"AAAAADjuq+U=")</f>
        <v>#REF!</v>
      </c>
      <c r="HW19" t="e">
        <f>AND(#REF!,"AAAAADjuq+Y=")</f>
        <v>#REF!</v>
      </c>
      <c r="HX19" t="e">
        <f>AND(#REF!,"AAAAADjuq+c=")</f>
        <v>#REF!</v>
      </c>
      <c r="HY19" t="e">
        <f>AND(#REF!,"AAAAADjuq+g=")</f>
        <v>#REF!</v>
      </c>
      <c r="HZ19" t="e">
        <f>AND(#REF!,"AAAAADjuq+k=")</f>
        <v>#REF!</v>
      </c>
      <c r="IA19" t="e">
        <f>AND(#REF!,"AAAAADjuq+o=")</f>
        <v>#REF!</v>
      </c>
      <c r="IB19" t="e">
        <f>AND(#REF!,"AAAAADjuq+s=")</f>
        <v>#REF!</v>
      </c>
      <c r="IC19" t="e">
        <f>AND(#REF!,"AAAAADjuq+w=")</f>
        <v>#REF!</v>
      </c>
      <c r="ID19" t="e">
        <f>AND(#REF!,"AAAAADjuq+0=")</f>
        <v>#REF!</v>
      </c>
      <c r="IE19" t="e">
        <f>AND(#REF!,"AAAAADjuq+4=")</f>
        <v>#REF!</v>
      </c>
      <c r="IF19" t="e">
        <f>AND(#REF!,"AAAAADjuq+8=")</f>
        <v>#REF!</v>
      </c>
      <c r="IG19" t="e">
        <f>AND(#REF!,"AAAAADjuq/A=")</f>
        <v>#REF!</v>
      </c>
      <c r="IH19" t="e">
        <f>AND(#REF!,"AAAAADjuq/E=")</f>
        <v>#REF!</v>
      </c>
      <c r="II19" t="e">
        <f>AND(#REF!,"AAAAADjuq/I=")</f>
        <v>#REF!</v>
      </c>
      <c r="IJ19" t="e">
        <f>AND(#REF!,"AAAAADjuq/M=")</f>
        <v>#REF!</v>
      </c>
      <c r="IK19" t="e">
        <f>AND(#REF!,"AAAAADjuq/Q=")</f>
        <v>#REF!</v>
      </c>
      <c r="IL19" t="e">
        <f>AND(#REF!,"AAAAADjuq/U=")</f>
        <v>#REF!</v>
      </c>
      <c r="IM19" t="e">
        <f>AND(#REF!,"AAAAADjuq/Y=")</f>
        <v>#REF!</v>
      </c>
      <c r="IN19" t="e">
        <f>AND(#REF!,"AAAAADjuq/c=")</f>
        <v>#REF!</v>
      </c>
      <c r="IO19" t="e">
        <f>AND(#REF!,"AAAAADjuq/g=")</f>
        <v>#REF!</v>
      </c>
      <c r="IP19" t="e">
        <f>IF(#REF!,"AAAAADjuq/k=",0)</f>
        <v>#REF!</v>
      </c>
      <c r="IQ19" t="e">
        <f>AND(#REF!,"AAAAADjuq/o=")</f>
        <v>#REF!</v>
      </c>
      <c r="IR19" t="e">
        <f>AND(#REF!,"AAAAADjuq/s=")</f>
        <v>#REF!</v>
      </c>
      <c r="IS19" t="e">
        <f>AND(#REF!,"AAAAADjuq/w=")</f>
        <v>#REF!</v>
      </c>
      <c r="IT19" t="e">
        <f>AND(#REF!,"AAAAADjuq/0=")</f>
        <v>#REF!</v>
      </c>
      <c r="IU19" t="e">
        <f>AND(#REF!,"AAAAADjuq/4=")</f>
        <v>#REF!</v>
      </c>
      <c r="IV19" t="e">
        <f>AND(#REF!,"AAAAADjuq/8=")</f>
        <v>#REF!</v>
      </c>
    </row>
    <row r="20" spans="1:256" x14ac:dyDescent="0.2">
      <c r="A20" t="e">
        <f>AND(#REF!,"AAAAAH3/3QA=")</f>
        <v>#REF!</v>
      </c>
      <c r="B20" t="e">
        <f>AND(#REF!,"AAAAAH3/3QE=")</f>
        <v>#REF!</v>
      </c>
      <c r="C20" t="e">
        <f>AND(#REF!,"AAAAAH3/3QI=")</f>
        <v>#REF!</v>
      </c>
      <c r="D20" t="e">
        <f>AND(#REF!,"AAAAAH3/3QM=")</f>
        <v>#REF!</v>
      </c>
      <c r="E20" t="e">
        <f>AND(#REF!,"AAAAAH3/3QQ=")</f>
        <v>#REF!</v>
      </c>
      <c r="F20" t="e">
        <f>AND(#REF!,"AAAAAH3/3QU=")</f>
        <v>#REF!</v>
      </c>
      <c r="G20" t="e">
        <f>AND(#REF!,"AAAAAH3/3QY=")</f>
        <v>#REF!</v>
      </c>
      <c r="H20" t="e">
        <f>AND(#REF!,"AAAAAH3/3Qc=")</f>
        <v>#REF!</v>
      </c>
      <c r="I20" t="e">
        <f>AND(#REF!,"AAAAAH3/3Qg=")</f>
        <v>#REF!</v>
      </c>
      <c r="J20" t="e">
        <f>AND(#REF!,"AAAAAH3/3Qk=")</f>
        <v>#REF!</v>
      </c>
      <c r="K20" t="e">
        <f>AND(#REF!,"AAAAAH3/3Qo=")</f>
        <v>#REF!</v>
      </c>
      <c r="L20" t="e">
        <f>AND(#REF!,"AAAAAH3/3Qs=")</f>
        <v>#REF!</v>
      </c>
      <c r="M20" t="e">
        <f>AND(#REF!,"AAAAAH3/3Qw=")</f>
        <v>#REF!</v>
      </c>
      <c r="N20" t="e">
        <f>AND(#REF!,"AAAAAH3/3Q0=")</f>
        <v>#REF!</v>
      </c>
      <c r="O20" t="e">
        <f>AND(#REF!,"AAAAAH3/3Q4=")</f>
        <v>#REF!</v>
      </c>
      <c r="P20" t="e">
        <f>AND(#REF!,"AAAAAH3/3Q8=")</f>
        <v>#REF!</v>
      </c>
      <c r="Q20" t="e">
        <f>AND(#REF!,"AAAAAH3/3RA=")</f>
        <v>#REF!</v>
      </c>
      <c r="R20" t="e">
        <f>AND(#REF!,"AAAAAH3/3RE=")</f>
        <v>#REF!</v>
      </c>
      <c r="S20" t="e">
        <f>AND(#REF!,"AAAAAH3/3RI=")</f>
        <v>#REF!</v>
      </c>
      <c r="T20" t="e">
        <f>AND(#REF!,"AAAAAH3/3RM=")</f>
        <v>#REF!</v>
      </c>
      <c r="U20" t="e">
        <f>IF(#REF!,"AAAAAH3/3RQ=",0)</f>
        <v>#REF!</v>
      </c>
      <c r="V20" t="e">
        <f>AND(#REF!,"AAAAAH3/3RU=")</f>
        <v>#REF!</v>
      </c>
      <c r="W20" t="e">
        <f>AND(#REF!,"AAAAAH3/3RY=")</f>
        <v>#REF!</v>
      </c>
      <c r="X20" t="e">
        <f>AND(#REF!,"AAAAAH3/3Rc=")</f>
        <v>#REF!</v>
      </c>
      <c r="Y20" t="e">
        <f>AND(#REF!,"AAAAAH3/3Rg=")</f>
        <v>#REF!</v>
      </c>
      <c r="Z20" t="e">
        <f>AND(#REF!,"AAAAAH3/3Rk=")</f>
        <v>#REF!</v>
      </c>
      <c r="AA20" t="e">
        <f>AND(#REF!,"AAAAAH3/3Ro=")</f>
        <v>#REF!</v>
      </c>
      <c r="AB20" t="e">
        <f>AND(#REF!,"AAAAAH3/3Rs=")</f>
        <v>#REF!</v>
      </c>
      <c r="AC20" t="e">
        <f>AND(#REF!,"AAAAAH3/3Rw=")</f>
        <v>#REF!</v>
      </c>
      <c r="AD20" t="e">
        <f>AND(#REF!,"AAAAAH3/3R0=")</f>
        <v>#REF!</v>
      </c>
      <c r="AE20" t="e">
        <f>AND(#REF!,"AAAAAH3/3R4=")</f>
        <v>#REF!</v>
      </c>
      <c r="AF20" t="e">
        <f>AND(#REF!,"AAAAAH3/3R8=")</f>
        <v>#REF!</v>
      </c>
      <c r="AG20" t="e">
        <f>AND(#REF!,"AAAAAH3/3SA=")</f>
        <v>#REF!</v>
      </c>
      <c r="AH20" t="e">
        <f>AND(#REF!,"AAAAAH3/3SE=")</f>
        <v>#REF!</v>
      </c>
      <c r="AI20" t="e">
        <f>AND(#REF!,"AAAAAH3/3SI=")</f>
        <v>#REF!</v>
      </c>
      <c r="AJ20" t="e">
        <f>AND(#REF!,"AAAAAH3/3SM=")</f>
        <v>#REF!</v>
      </c>
      <c r="AK20" t="e">
        <f>AND(#REF!,"AAAAAH3/3SQ=")</f>
        <v>#REF!</v>
      </c>
      <c r="AL20" t="e">
        <f>AND(#REF!,"AAAAAH3/3SU=")</f>
        <v>#REF!</v>
      </c>
      <c r="AM20" t="e">
        <f>AND(#REF!,"AAAAAH3/3SY=")</f>
        <v>#REF!</v>
      </c>
      <c r="AN20" t="e">
        <f>AND(#REF!,"AAAAAH3/3Sc=")</f>
        <v>#REF!</v>
      </c>
      <c r="AO20" t="e">
        <f>AND(#REF!,"AAAAAH3/3Sg=")</f>
        <v>#REF!</v>
      </c>
      <c r="AP20" t="e">
        <f>AND(#REF!,"AAAAAH3/3Sk=")</f>
        <v>#REF!</v>
      </c>
      <c r="AQ20" t="e">
        <f>AND(#REF!,"AAAAAH3/3So=")</f>
        <v>#REF!</v>
      </c>
      <c r="AR20" t="e">
        <f>AND(#REF!,"AAAAAH3/3Ss=")</f>
        <v>#REF!</v>
      </c>
      <c r="AS20" t="e">
        <f>AND(#REF!,"AAAAAH3/3Sw=")</f>
        <v>#REF!</v>
      </c>
      <c r="AT20" t="e">
        <f>AND(#REF!,"AAAAAH3/3S0=")</f>
        <v>#REF!</v>
      </c>
      <c r="AU20" t="e">
        <f>AND(#REF!,"AAAAAH3/3S4=")</f>
        <v>#REF!</v>
      </c>
      <c r="AV20" t="e">
        <f>IF(#REF!,"AAAAAH3/3S8=",0)</f>
        <v>#REF!</v>
      </c>
      <c r="AW20" t="e">
        <f>AND(#REF!,"AAAAAH3/3TA=")</f>
        <v>#REF!</v>
      </c>
      <c r="AX20" t="e">
        <f>AND(#REF!,"AAAAAH3/3TE=")</f>
        <v>#REF!</v>
      </c>
      <c r="AY20" t="e">
        <f>AND(#REF!,"AAAAAH3/3TI=")</f>
        <v>#REF!</v>
      </c>
      <c r="AZ20" t="e">
        <f>AND(#REF!,"AAAAAH3/3TM=")</f>
        <v>#REF!</v>
      </c>
      <c r="BA20" t="e">
        <f>AND(#REF!,"AAAAAH3/3TQ=")</f>
        <v>#REF!</v>
      </c>
      <c r="BB20" t="e">
        <f>AND(#REF!,"AAAAAH3/3TU=")</f>
        <v>#REF!</v>
      </c>
      <c r="BC20" t="e">
        <f>AND(#REF!,"AAAAAH3/3TY=")</f>
        <v>#REF!</v>
      </c>
      <c r="BD20" t="e">
        <f>AND(#REF!,"AAAAAH3/3Tc=")</f>
        <v>#REF!</v>
      </c>
      <c r="BE20" t="e">
        <f>AND(#REF!,"AAAAAH3/3Tg=")</f>
        <v>#REF!</v>
      </c>
      <c r="BF20" t="e">
        <f>AND(#REF!,"AAAAAH3/3Tk=")</f>
        <v>#REF!</v>
      </c>
      <c r="BG20" t="e">
        <f>AND(#REF!,"AAAAAH3/3To=")</f>
        <v>#REF!</v>
      </c>
      <c r="BH20" t="e">
        <f>AND(#REF!,"AAAAAH3/3Ts=")</f>
        <v>#REF!</v>
      </c>
      <c r="BI20" t="e">
        <f>AND(#REF!,"AAAAAH3/3Tw=")</f>
        <v>#REF!</v>
      </c>
      <c r="BJ20" t="e">
        <f>AND(#REF!,"AAAAAH3/3T0=")</f>
        <v>#REF!</v>
      </c>
      <c r="BK20" t="e">
        <f>AND(#REF!,"AAAAAH3/3T4=")</f>
        <v>#REF!</v>
      </c>
      <c r="BL20" t="e">
        <f>AND(#REF!,"AAAAAH3/3T8=")</f>
        <v>#REF!</v>
      </c>
      <c r="BM20" t="e">
        <f>AND(#REF!,"AAAAAH3/3UA=")</f>
        <v>#REF!</v>
      </c>
      <c r="BN20" t="e">
        <f>AND(#REF!,"AAAAAH3/3UE=")</f>
        <v>#REF!</v>
      </c>
      <c r="BO20" t="e">
        <f>AND(#REF!,"AAAAAH3/3UI=")</f>
        <v>#REF!</v>
      </c>
      <c r="BP20" t="e">
        <f>AND(#REF!,"AAAAAH3/3UM=")</f>
        <v>#REF!</v>
      </c>
      <c r="BQ20" t="e">
        <f>AND(#REF!,"AAAAAH3/3UQ=")</f>
        <v>#REF!</v>
      </c>
      <c r="BR20" t="e">
        <f>AND(#REF!,"AAAAAH3/3UU=")</f>
        <v>#REF!</v>
      </c>
      <c r="BS20" t="e">
        <f>AND(#REF!,"AAAAAH3/3UY=")</f>
        <v>#REF!</v>
      </c>
      <c r="BT20" t="e">
        <f>AND(#REF!,"AAAAAH3/3Uc=")</f>
        <v>#REF!</v>
      </c>
      <c r="BU20" t="e">
        <f>AND(#REF!,"AAAAAH3/3Ug=")</f>
        <v>#REF!</v>
      </c>
      <c r="BV20" t="e">
        <f>AND(#REF!,"AAAAAH3/3Uk=")</f>
        <v>#REF!</v>
      </c>
      <c r="BW20" t="e">
        <f>IF(#REF!,"AAAAAH3/3Uo=",0)</f>
        <v>#REF!</v>
      </c>
      <c r="BX20" t="e">
        <f>AND(#REF!,"AAAAAH3/3Us=")</f>
        <v>#REF!</v>
      </c>
      <c r="BY20" t="e">
        <f>AND(#REF!,"AAAAAH3/3Uw=")</f>
        <v>#REF!</v>
      </c>
      <c r="BZ20" t="e">
        <f>AND(#REF!,"AAAAAH3/3U0=")</f>
        <v>#REF!</v>
      </c>
      <c r="CA20" t="e">
        <f>AND(#REF!,"AAAAAH3/3U4=")</f>
        <v>#REF!</v>
      </c>
      <c r="CB20" t="e">
        <f>AND(#REF!,"AAAAAH3/3U8=")</f>
        <v>#REF!</v>
      </c>
      <c r="CC20" t="e">
        <f>AND(#REF!,"AAAAAH3/3VA=")</f>
        <v>#REF!</v>
      </c>
      <c r="CD20" t="e">
        <f>AND(#REF!,"AAAAAH3/3VE=")</f>
        <v>#REF!</v>
      </c>
      <c r="CE20" t="e">
        <f>AND(#REF!,"AAAAAH3/3VI=")</f>
        <v>#REF!</v>
      </c>
      <c r="CF20" t="e">
        <f>AND(#REF!,"AAAAAH3/3VM=")</f>
        <v>#REF!</v>
      </c>
      <c r="CG20" t="e">
        <f>AND(#REF!,"AAAAAH3/3VQ=")</f>
        <v>#REF!</v>
      </c>
      <c r="CH20" t="e">
        <f>AND(#REF!,"AAAAAH3/3VU=")</f>
        <v>#REF!</v>
      </c>
      <c r="CI20" t="e">
        <f>AND(#REF!,"AAAAAH3/3VY=")</f>
        <v>#REF!</v>
      </c>
      <c r="CJ20" t="e">
        <f>AND(#REF!,"AAAAAH3/3Vc=")</f>
        <v>#REF!</v>
      </c>
      <c r="CK20" t="e">
        <f>AND(#REF!,"AAAAAH3/3Vg=")</f>
        <v>#REF!</v>
      </c>
      <c r="CL20" t="e">
        <f>AND(#REF!,"AAAAAH3/3Vk=")</f>
        <v>#REF!</v>
      </c>
      <c r="CM20" t="e">
        <f>AND(#REF!,"AAAAAH3/3Vo=")</f>
        <v>#REF!</v>
      </c>
      <c r="CN20" t="e">
        <f>AND(#REF!,"AAAAAH3/3Vs=")</f>
        <v>#REF!</v>
      </c>
      <c r="CO20" t="e">
        <f>AND(#REF!,"AAAAAH3/3Vw=")</f>
        <v>#REF!</v>
      </c>
      <c r="CP20" t="e">
        <f>AND(#REF!,"AAAAAH3/3V0=")</f>
        <v>#REF!</v>
      </c>
      <c r="CQ20" t="e">
        <f>AND(#REF!,"AAAAAH3/3V4=")</f>
        <v>#REF!</v>
      </c>
      <c r="CR20" t="e">
        <f>AND(#REF!,"AAAAAH3/3V8=")</f>
        <v>#REF!</v>
      </c>
      <c r="CS20" t="e">
        <f>AND(#REF!,"AAAAAH3/3WA=")</f>
        <v>#REF!</v>
      </c>
      <c r="CT20" t="e">
        <f>AND(#REF!,"AAAAAH3/3WE=")</f>
        <v>#REF!</v>
      </c>
      <c r="CU20" t="e">
        <f>AND(#REF!,"AAAAAH3/3WI=")</f>
        <v>#REF!</v>
      </c>
      <c r="CV20" t="e">
        <f>AND(#REF!,"AAAAAH3/3WM=")</f>
        <v>#REF!</v>
      </c>
      <c r="CW20" t="e">
        <f>AND(#REF!,"AAAAAH3/3WQ=")</f>
        <v>#REF!</v>
      </c>
      <c r="CX20" t="e">
        <f>IF(#REF!,"AAAAAH3/3WU=",0)</f>
        <v>#REF!</v>
      </c>
      <c r="CY20" t="e">
        <f>AND(#REF!,"AAAAAH3/3WY=")</f>
        <v>#REF!</v>
      </c>
      <c r="CZ20" t="e">
        <f>AND(#REF!,"AAAAAH3/3Wc=")</f>
        <v>#REF!</v>
      </c>
      <c r="DA20" t="e">
        <f>AND(#REF!,"AAAAAH3/3Wg=")</f>
        <v>#REF!</v>
      </c>
      <c r="DB20" t="e">
        <f>AND(#REF!,"AAAAAH3/3Wk=")</f>
        <v>#REF!</v>
      </c>
      <c r="DC20" t="e">
        <f>AND(#REF!,"AAAAAH3/3Wo=")</f>
        <v>#REF!</v>
      </c>
      <c r="DD20" t="e">
        <f>AND(#REF!,"AAAAAH3/3Ws=")</f>
        <v>#REF!</v>
      </c>
      <c r="DE20" t="e">
        <f>AND(#REF!,"AAAAAH3/3Ww=")</f>
        <v>#REF!</v>
      </c>
      <c r="DF20" t="e">
        <f>AND(#REF!,"AAAAAH3/3W0=")</f>
        <v>#REF!</v>
      </c>
      <c r="DG20" t="e">
        <f>AND(#REF!,"AAAAAH3/3W4=")</f>
        <v>#REF!</v>
      </c>
      <c r="DH20" t="e">
        <f>AND(#REF!,"AAAAAH3/3W8=")</f>
        <v>#REF!</v>
      </c>
      <c r="DI20" t="e">
        <f>AND(#REF!,"AAAAAH3/3XA=")</f>
        <v>#REF!</v>
      </c>
      <c r="DJ20" t="e">
        <f>AND(#REF!,"AAAAAH3/3XE=")</f>
        <v>#REF!</v>
      </c>
      <c r="DK20" t="e">
        <f>AND(#REF!,"AAAAAH3/3XI=")</f>
        <v>#REF!</v>
      </c>
      <c r="DL20" t="e">
        <f>AND(#REF!,"AAAAAH3/3XM=")</f>
        <v>#REF!</v>
      </c>
      <c r="DM20" t="e">
        <f>AND(#REF!,"AAAAAH3/3XQ=")</f>
        <v>#REF!</v>
      </c>
      <c r="DN20" t="e">
        <f>AND(#REF!,"AAAAAH3/3XU=")</f>
        <v>#REF!</v>
      </c>
      <c r="DO20" t="e">
        <f>AND(#REF!,"AAAAAH3/3XY=")</f>
        <v>#REF!</v>
      </c>
      <c r="DP20" t="e">
        <f>AND(#REF!,"AAAAAH3/3Xc=")</f>
        <v>#REF!</v>
      </c>
      <c r="DQ20" t="e">
        <f>AND(#REF!,"AAAAAH3/3Xg=")</f>
        <v>#REF!</v>
      </c>
      <c r="DR20" t="e">
        <f>AND(#REF!,"AAAAAH3/3Xk=")</f>
        <v>#REF!</v>
      </c>
      <c r="DS20" t="e">
        <f>AND(#REF!,"AAAAAH3/3Xo=")</f>
        <v>#REF!</v>
      </c>
      <c r="DT20" t="e">
        <f>AND(#REF!,"AAAAAH3/3Xs=")</f>
        <v>#REF!</v>
      </c>
      <c r="DU20" t="e">
        <f>AND(#REF!,"AAAAAH3/3Xw=")</f>
        <v>#REF!</v>
      </c>
      <c r="DV20" t="e">
        <f>AND(#REF!,"AAAAAH3/3X0=")</f>
        <v>#REF!</v>
      </c>
      <c r="DW20" t="e">
        <f>AND(#REF!,"AAAAAH3/3X4=")</f>
        <v>#REF!</v>
      </c>
      <c r="DX20" t="e">
        <f>AND(#REF!,"AAAAAH3/3X8=")</f>
        <v>#REF!</v>
      </c>
      <c r="DY20" t="e">
        <f>IF(#REF!,"AAAAAH3/3YA=",0)</f>
        <v>#REF!</v>
      </c>
      <c r="DZ20" t="e">
        <f>AND(#REF!,"AAAAAH3/3YE=")</f>
        <v>#REF!</v>
      </c>
      <c r="EA20" t="e">
        <f>AND(#REF!,"AAAAAH3/3YI=")</f>
        <v>#REF!</v>
      </c>
      <c r="EB20" t="e">
        <f>AND(#REF!,"AAAAAH3/3YM=")</f>
        <v>#REF!</v>
      </c>
      <c r="EC20" t="e">
        <f>AND(#REF!,"AAAAAH3/3YQ=")</f>
        <v>#REF!</v>
      </c>
      <c r="ED20" t="e">
        <f>AND(#REF!,"AAAAAH3/3YU=")</f>
        <v>#REF!</v>
      </c>
      <c r="EE20" t="e">
        <f>AND(#REF!,"AAAAAH3/3YY=")</f>
        <v>#REF!</v>
      </c>
      <c r="EF20" t="e">
        <f>AND(#REF!,"AAAAAH3/3Yc=")</f>
        <v>#REF!</v>
      </c>
      <c r="EG20" t="e">
        <f>AND(#REF!,"AAAAAH3/3Yg=")</f>
        <v>#REF!</v>
      </c>
      <c r="EH20" t="e">
        <f>AND(#REF!,"AAAAAH3/3Yk=")</f>
        <v>#REF!</v>
      </c>
      <c r="EI20" t="e">
        <f>AND(#REF!,"AAAAAH3/3Yo=")</f>
        <v>#REF!</v>
      </c>
      <c r="EJ20" t="e">
        <f>AND(#REF!,"AAAAAH3/3Ys=")</f>
        <v>#REF!</v>
      </c>
      <c r="EK20" t="e">
        <f>AND(#REF!,"AAAAAH3/3Yw=")</f>
        <v>#REF!</v>
      </c>
      <c r="EL20" t="e">
        <f>AND(#REF!,"AAAAAH3/3Y0=")</f>
        <v>#REF!</v>
      </c>
      <c r="EM20" t="e">
        <f>AND(#REF!,"AAAAAH3/3Y4=")</f>
        <v>#REF!</v>
      </c>
      <c r="EN20" t="e">
        <f>AND(#REF!,"AAAAAH3/3Y8=")</f>
        <v>#REF!</v>
      </c>
      <c r="EO20" t="e">
        <f>AND(#REF!,"AAAAAH3/3ZA=")</f>
        <v>#REF!</v>
      </c>
      <c r="EP20" t="e">
        <f>AND(#REF!,"AAAAAH3/3ZE=")</f>
        <v>#REF!</v>
      </c>
      <c r="EQ20" t="e">
        <f>AND(#REF!,"AAAAAH3/3ZI=")</f>
        <v>#REF!</v>
      </c>
      <c r="ER20" t="e">
        <f>AND(#REF!,"AAAAAH3/3ZM=")</f>
        <v>#REF!</v>
      </c>
      <c r="ES20" t="e">
        <f>AND(#REF!,"AAAAAH3/3ZQ=")</f>
        <v>#REF!</v>
      </c>
      <c r="ET20" t="e">
        <f>AND(#REF!,"AAAAAH3/3ZU=")</f>
        <v>#REF!</v>
      </c>
      <c r="EU20" t="e">
        <f>AND(#REF!,"AAAAAH3/3ZY=")</f>
        <v>#REF!</v>
      </c>
      <c r="EV20" t="e">
        <f>AND(#REF!,"AAAAAH3/3Zc=")</f>
        <v>#REF!</v>
      </c>
      <c r="EW20" t="e">
        <f>AND(#REF!,"AAAAAH3/3Zg=")</f>
        <v>#REF!</v>
      </c>
      <c r="EX20" t="e">
        <f>AND(#REF!,"AAAAAH3/3Zk=")</f>
        <v>#REF!</v>
      </c>
      <c r="EY20" t="e">
        <f>AND(#REF!,"AAAAAH3/3Zo=")</f>
        <v>#REF!</v>
      </c>
      <c r="EZ20" t="e">
        <f>IF(#REF!,"AAAAAH3/3Zs=",0)</f>
        <v>#REF!</v>
      </c>
      <c r="FA20" t="e">
        <f>AND(#REF!,"AAAAAH3/3Zw=")</f>
        <v>#REF!</v>
      </c>
      <c r="FB20" t="e">
        <f>AND(#REF!,"AAAAAH3/3Z0=")</f>
        <v>#REF!</v>
      </c>
      <c r="FC20" t="e">
        <f>AND(#REF!,"AAAAAH3/3Z4=")</f>
        <v>#REF!</v>
      </c>
      <c r="FD20" t="e">
        <f>AND(#REF!,"AAAAAH3/3Z8=")</f>
        <v>#REF!</v>
      </c>
      <c r="FE20" t="e">
        <f>AND(#REF!,"AAAAAH3/3aA=")</f>
        <v>#REF!</v>
      </c>
      <c r="FF20" t="e">
        <f>AND(#REF!,"AAAAAH3/3aE=")</f>
        <v>#REF!</v>
      </c>
      <c r="FG20" t="e">
        <f>AND(#REF!,"AAAAAH3/3aI=")</f>
        <v>#REF!</v>
      </c>
      <c r="FH20" t="e">
        <f>AND(#REF!,"AAAAAH3/3aM=")</f>
        <v>#REF!</v>
      </c>
      <c r="FI20" t="e">
        <f>AND(#REF!,"AAAAAH3/3aQ=")</f>
        <v>#REF!</v>
      </c>
      <c r="FJ20" t="e">
        <f>AND(#REF!,"AAAAAH3/3aU=")</f>
        <v>#REF!</v>
      </c>
      <c r="FK20" t="e">
        <f>AND(#REF!,"AAAAAH3/3aY=")</f>
        <v>#REF!</v>
      </c>
      <c r="FL20" t="e">
        <f>AND(#REF!,"AAAAAH3/3ac=")</f>
        <v>#REF!</v>
      </c>
      <c r="FM20" t="e">
        <f>AND(#REF!,"AAAAAH3/3ag=")</f>
        <v>#REF!</v>
      </c>
      <c r="FN20" t="e">
        <f>AND(#REF!,"AAAAAH3/3ak=")</f>
        <v>#REF!</v>
      </c>
      <c r="FO20" t="e">
        <f>AND(#REF!,"AAAAAH3/3ao=")</f>
        <v>#REF!</v>
      </c>
      <c r="FP20" t="e">
        <f>AND(#REF!,"AAAAAH3/3as=")</f>
        <v>#REF!</v>
      </c>
      <c r="FQ20" t="e">
        <f>AND(#REF!,"AAAAAH3/3aw=")</f>
        <v>#REF!</v>
      </c>
      <c r="FR20" t="e">
        <f>AND(#REF!,"AAAAAH3/3a0=")</f>
        <v>#REF!</v>
      </c>
      <c r="FS20" t="e">
        <f>AND(#REF!,"AAAAAH3/3a4=")</f>
        <v>#REF!</v>
      </c>
      <c r="FT20" t="e">
        <f>AND(#REF!,"AAAAAH3/3a8=")</f>
        <v>#REF!</v>
      </c>
      <c r="FU20" t="e">
        <f>AND(#REF!,"AAAAAH3/3bA=")</f>
        <v>#REF!</v>
      </c>
      <c r="FV20" t="e">
        <f>AND(#REF!,"AAAAAH3/3bE=")</f>
        <v>#REF!</v>
      </c>
      <c r="FW20" t="e">
        <f>AND(#REF!,"AAAAAH3/3bI=")</f>
        <v>#REF!</v>
      </c>
      <c r="FX20" t="e">
        <f>AND(#REF!,"AAAAAH3/3bM=")</f>
        <v>#REF!</v>
      </c>
      <c r="FY20" t="e">
        <f>AND(#REF!,"AAAAAH3/3bQ=")</f>
        <v>#REF!</v>
      </c>
      <c r="FZ20" t="e">
        <f>AND(#REF!,"AAAAAH3/3bU=")</f>
        <v>#REF!</v>
      </c>
      <c r="GA20" t="e">
        <f>IF(#REF!,"AAAAAH3/3bY=",0)</f>
        <v>#REF!</v>
      </c>
      <c r="GB20" t="e">
        <f>AND(#REF!,"AAAAAH3/3bc=")</f>
        <v>#REF!</v>
      </c>
      <c r="GC20" t="e">
        <f>AND(#REF!,"AAAAAH3/3bg=")</f>
        <v>#REF!</v>
      </c>
      <c r="GD20" t="e">
        <f>AND(#REF!,"AAAAAH3/3bk=")</f>
        <v>#REF!</v>
      </c>
      <c r="GE20" t="e">
        <f>AND(#REF!,"AAAAAH3/3bo=")</f>
        <v>#REF!</v>
      </c>
      <c r="GF20" t="e">
        <f>AND(#REF!,"AAAAAH3/3bs=")</f>
        <v>#REF!</v>
      </c>
      <c r="GG20" t="e">
        <f>AND(#REF!,"AAAAAH3/3bw=")</f>
        <v>#REF!</v>
      </c>
      <c r="GH20" t="e">
        <f>AND(#REF!,"AAAAAH3/3b0=")</f>
        <v>#REF!</v>
      </c>
      <c r="GI20" t="e">
        <f>AND(#REF!,"AAAAAH3/3b4=")</f>
        <v>#REF!</v>
      </c>
      <c r="GJ20" t="e">
        <f>AND(#REF!,"AAAAAH3/3b8=")</f>
        <v>#REF!</v>
      </c>
      <c r="GK20" t="e">
        <f>AND(#REF!,"AAAAAH3/3cA=")</f>
        <v>#REF!</v>
      </c>
      <c r="GL20" t="e">
        <f>AND(#REF!,"AAAAAH3/3cE=")</f>
        <v>#REF!</v>
      </c>
      <c r="GM20" t="e">
        <f>AND(#REF!,"AAAAAH3/3cI=")</f>
        <v>#REF!</v>
      </c>
      <c r="GN20" t="e">
        <f>AND(#REF!,"AAAAAH3/3cM=")</f>
        <v>#REF!</v>
      </c>
      <c r="GO20" t="e">
        <f>AND(#REF!,"AAAAAH3/3cQ=")</f>
        <v>#REF!</v>
      </c>
      <c r="GP20" t="e">
        <f>AND(#REF!,"AAAAAH3/3cU=")</f>
        <v>#REF!</v>
      </c>
      <c r="GQ20" t="e">
        <f>AND(#REF!,"AAAAAH3/3cY=")</f>
        <v>#REF!</v>
      </c>
      <c r="GR20" t="e">
        <f>AND(#REF!,"AAAAAH3/3cc=")</f>
        <v>#REF!</v>
      </c>
      <c r="GS20" t="e">
        <f>AND(#REF!,"AAAAAH3/3cg=")</f>
        <v>#REF!</v>
      </c>
      <c r="GT20" t="e">
        <f>AND(#REF!,"AAAAAH3/3ck=")</f>
        <v>#REF!</v>
      </c>
      <c r="GU20" t="e">
        <f>AND(#REF!,"AAAAAH3/3co=")</f>
        <v>#REF!</v>
      </c>
      <c r="GV20" t="e">
        <f>AND(#REF!,"AAAAAH3/3cs=")</f>
        <v>#REF!</v>
      </c>
      <c r="GW20" t="e">
        <f>AND(#REF!,"AAAAAH3/3cw=")</f>
        <v>#REF!</v>
      </c>
      <c r="GX20" t="e">
        <f>AND(#REF!,"AAAAAH3/3c0=")</f>
        <v>#REF!</v>
      </c>
      <c r="GY20" t="e">
        <f>AND(#REF!,"AAAAAH3/3c4=")</f>
        <v>#REF!</v>
      </c>
      <c r="GZ20" t="e">
        <f>AND(#REF!,"AAAAAH3/3c8=")</f>
        <v>#REF!</v>
      </c>
      <c r="HA20" t="e">
        <f>AND(#REF!,"AAAAAH3/3dA=")</f>
        <v>#REF!</v>
      </c>
      <c r="HB20" t="e">
        <f>IF(#REF!,"AAAAAH3/3dE=",0)</f>
        <v>#REF!</v>
      </c>
      <c r="HC20" t="e">
        <f>AND(#REF!,"AAAAAH3/3dI=")</f>
        <v>#REF!</v>
      </c>
      <c r="HD20" t="e">
        <f>AND(#REF!,"AAAAAH3/3dM=")</f>
        <v>#REF!</v>
      </c>
      <c r="HE20" t="e">
        <f>AND(#REF!,"AAAAAH3/3dQ=")</f>
        <v>#REF!</v>
      </c>
      <c r="HF20" t="e">
        <f>AND(#REF!,"AAAAAH3/3dU=")</f>
        <v>#REF!</v>
      </c>
      <c r="HG20" t="e">
        <f>AND(#REF!,"AAAAAH3/3dY=")</f>
        <v>#REF!</v>
      </c>
      <c r="HH20" t="e">
        <f>AND(#REF!,"AAAAAH3/3dc=")</f>
        <v>#REF!</v>
      </c>
      <c r="HI20" t="e">
        <f>AND(#REF!,"AAAAAH3/3dg=")</f>
        <v>#REF!</v>
      </c>
      <c r="HJ20" t="e">
        <f>AND(#REF!,"AAAAAH3/3dk=")</f>
        <v>#REF!</v>
      </c>
      <c r="HK20" t="e">
        <f>AND(#REF!,"AAAAAH3/3do=")</f>
        <v>#REF!</v>
      </c>
      <c r="HL20" t="e">
        <f>AND(#REF!,"AAAAAH3/3ds=")</f>
        <v>#REF!</v>
      </c>
      <c r="HM20" t="e">
        <f>AND(#REF!,"AAAAAH3/3dw=")</f>
        <v>#REF!</v>
      </c>
      <c r="HN20" t="e">
        <f>AND(#REF!,"AAAAAH3/3d0=")</f>
        <v>#REF!</v>
      </c>
      <c r="HO20" t="e">
        <f>AND(#REF!,"AAAAAH3/3d4=")</f>
        <v>#REF!</v>
      </c>
      <c r="HP20" t="e">
        <f>AND(#REF!,"AAAAAH3/3d8=")</f>
        <v>#REF!</v>
      </c>
      <c r="HQ20" t="e">
        <f>AND(#REF!,"AAAAAH3/3eA=")</f>
        <v>#REF!</v>
      </c>
      <c r="HR20" t="e">
        <f>AND(#REF!,"AAAAAH3/3eE=")</f>
        <v>#REF!</v>
      </c>
      <c r="HS20" t="e">
        <f>AND(#REF!,"AAAAAH3/3eI=")</f>
        <v>#REF!</v>
      </c>
      <c r="HT20" t="e">
        <f>AND(#REF!,"AAAAAH3/3eM=")</f>
        <v>#REF!</v>
      </c>
      <c r="HU20" t="e">
        <f>AND(#REF!,"AAAAAH3/3eQ=")</f>
        <v>#REF!</v>
      </c>
      <c r="HV20" t="e">
        <f>AND(#REF!,"AAAAAH3/3eU=")</f>
        <v>#REF!</v>
      </c>
      <c r="HW20" t="e">
        <f>AND(#REF!,"AAAAAH3/3eY=")</f>
        <v>#REF!</v>
      </c>
      <c r="HX20" t="e">
        <f>AND(#REF!,"AAAAAH3/3ec=")</f>
        <v>#REF!</v>
      </c>
      <c r="HY20" t="e">
        <f>AND(#REF!,"AAAAAH3/3eg=")</f>
        <v>#REF!</v>
      </c>
      <c r="HZ20" t="e">
        <f>AND(#REF!,"AAAAAH3/3ek=")</f>
        <v>#REF!</v>
      </c>
      <c r="IA20" t="e">
        <f>AND(#REF!,"AAAAAH3/3eo=")</f>
        <v>#REF!</v>
      </c>
      <c r="IB20" t="e">
        <f>AND(#REF!,"AAAAAH3/3es=")</f>
        <v>#REF!</v>
      </c>
      <c r="IC20" t="e">
        <f>IF(#REF!,"AAAAAH3/3ew=",0)</f>
        <v>#REF!</v>
      </c>
      <c r="ID20" t="e">
        <f>AND(#REF!,"AAAAAH3/3e0=")</f>
        <v>#REF!</v>
      </c>
      <c r="IE20" t="e">
        <f>AND(#REF!,"AAAAAH3/3e4=")</f>
        <v>#REF!</v>
      </c>
      <c r="IF20" t="e">
        <f>AND(#REF!,"AAAAAH3/3e8=")</f>
        <v>#REF!</v>
      </c>
      <c r="IG20" t="e">
        <f>AND(#REF!,"AAAAAH3/3fA=")</f>
        <v>#REF!</v>
      </c>
      <c r="IH20" t="e">
        <f>AND(#REF!,"AAAAAH3/3fE=")</f>
        <v>#REF!</v>
      </c>
      <c r="II20" t="e">
        <f>AND(#REF!,"AAAAAH3/3fI=")</f>
        <v>#REF!</v>
      </c>
      <c r="IJ20" t="e">
        <f>AND(#REF!,"AAAAAH3/3fM=")</f>
        <v>#REF!</v>
      </c>
      <c r="IK20" t="e">
        <f>AND(#REF!,"AAAAAH3/3fQ=")</f>
        <v>#REF!</v>
      </c>
      <c r="IL20" t="e">
        <f>AND(#REF!,"AAAAAH3/3fU=")</f>
        <v>#REF!</v>
      </c>
      <c r="IM20" t="e">
        <f>AND(#REF!,"AAAAAH3/3fY=")</f>
        <v>#REF!</v>
      </c>
      <c r="IN20" t="e">
        <f>AND(#REF!,"AAAAAH3/3fc=")</f>
        <v>#REF!</v>
      </c>
      <c r="IO20" t="e">
        <f>AND(#REF!,"AAAAAH3/3fg=")</f>
        <v>#REF!</v>
      </c>
      <c r="IP20" t="e">
        <f>AND(#REF!,"AAAAAH3/3fk=")</f>
        <v>#REF!</v>
      </c>
      <c r="IQ20" t="e">
        <f>AND(#REF!,"AAAAAH3/3fo=")</f>
        <v>#REF!</v>
      </c>
      <c r="IR20" t="e">
        <f>AND(#REF!,"AAAAAH3/3fs=")</f>
        <v>#REF!</v>
      </c>
      <c r="IS20" t="e">
        <f>AND(#REF!,"AAAAAH3/3fw=")</f>
        <v>#REF!</v>
      </c>
      <c r="IT20" t="e">
        <f>AND(#REF!,"AAAAAH3/3f0=")</f>
        <v>#REF!</v>
      </c>
      <c r="IU20" t="e">
        <f>AND(#REF!,"AAAAAH3/3f4=")</f>
        <v>#REF!</v>
      </c>
      <c r="IV20" t="e">
        <f>AND(#REF!,"AAAAAH3/3f8=")</f>
        <v>#REF!</v>
      </c>
    </row>
    <row r="21" spans="1:256" x14ac:dyDescent="0.2">
      <c r="A21" t="e">
        <f>AND(#REF!,"AAAAAHd6ewA=")</f>
        <v>#REF!</v>
      </c>
      <c r="B21" t="e">
        <f>AND(#REF!,"AAAAAHd6ewE=")</f>
        <v>#REF!</v>
      </c>
      <c r="C21" t="e">
        <f>AND(#REF!,"AAAAAHd6ewI=")</f>
        <v>#REF!</v>
      </c>
      <c r="D21" t="e">
        <f>AND(#REF!,"AAAAAHd6ewM=")</f>
        <v>#REF!</v>
      </c>
      <c r="E21" t="e">
        <f>AND(#REF!,"AAAAAHd6ewQ=")</f>
        <v>#REF!</v>
      </c>
      <c r="F21" t="e">
        <f>AND(#REF!,"AAAAAHd6ewU=")</f>
        <v>#REF!</v>
      </c>
      <c r="G21" t="e">
        <f>AND(#REF!,"AAAAAHd6ewY=")</f>
        <v>#REF!</v>
      </c>
      <c r="H21" t="e">
        <f>IF(#REF!,"AAAAAHd6ewc=",0)</f>
        <v>#REF!</v>
      </c>
      <c r="I21" t="e">
        <f>AND(#REF!,"AAAAAHd6ewg=")</f>
        <v>#REF!</v>
      </c>
      <c r="J21" t="e">
        <f>AND(#REF!,"AAAAAHd6ewk=")</f>
        <v>#REF!</v>
      </c>
      <c r="K21" t="e">
        <f>AND(#REF!,"AAAAAHd6ewo=")</f>
        <v>#REF!</v>
      </c>
      <c r="L21" t="e">
        <f>AND(#REF!,"AAAAAHd6ews=")</f>
        <v>#REF!</v>
      </c>
      <c r="M21" t="e">
        <f>AND(#REF!,"AAAAAHd6eww=")</f>
        <v>#REF!</v>
      </c>
      <c r="N21" t="e">
        <f>AND(#REF!,"AAAAAHd6ew0=")</f>
        <v>#REF!</v>
      </c>
      <c r="O21" t="e">
        <f>AND(#REF!,"AAAAAHd6ew4=")</f>
        <v>#REF!</v>
      </c>
      <c r="P21" t="e">
        <f>AND(#REF!,"AAAAAHd6ew8=")</f>
        <v>#REF!</v>
      </c>
      <c r="Q21" t="e">
        <f>AND(#REF!,"AAAAAHd6exA=")</f>
        <v>#REF!</v>
      </c>
      <c r="R21" t="e">
        <f>AND(#REF!,"AAAAAHd6exE=")</f>
        <v>#REF!</v>
      </c>
      <c r="S21" t="e">
        <f>AND(#REF!,"AAAAAHd6exI=")</f>
        <v>#REF!</v>
      </c>
      <c r="T21" t="e">
        <f>AND(#REF!,"AAAAAHd6exM=")</f>
        <v>#REF!</v>
      </c>
      <c r="U21" t="e">
        <f>AND(#REF!,"AAAAAHd6exQ=")</f>
        <v>#REF!</v>
      </c>
      <c r="V21" t="e">
        <f>AND(#REF!,"AAAAAHd6exU=")</f>
        <v>#REF!</v>
      </c>
      <c r="W21" t="e">
        <f>AND(#REF!,"AAAAAHd6exY=")</f>
        <v>#REF!</v>
      </c>
      <c r="X21" t="e">
        <f>AND(#REF!,"AAAAAHd6exc=")</f>
        <v>#REF!</v>
      </c>
      <c r="Y21" t="e">
        <f>AND(#REF!,"AAAAAHd6exg=")</f>
        <v>#REF!</v>
      </c>
      <c r="Z21" t="e">
        <f>AND(#REF!,"AAAAAHd6exk=")</f>
        <v>#REF!</v>
      </c>
      <c r="AA21" t="e">
        <f>AND(#REF!,"AAAAAHd6exo=")</f>
        <v>#REF!</v>
      </c>
      <c r="AB21" t="e">
        <f>AND(#REF!,"AAAAAHd6exs=")</f>
        <v>#REF!</v>
      </c>
      <c r="AC21" t="e">
        <f>AND(#REF!,"AAAAAHd6exw=")</f>
        <v>#REF!</v>
      </c>
      <c r="AD21" t="e">
        <f>AND(#REF!,"AAAAAHd6ex0=")</f>
        <v>#REF!</v>
      </c>
      <c r="AE21" t="e">
        <f>AND(#REF!,"AAAAAHd6ex4=")</f>
        <v>#REF!</v>
      </c>
      <c r="AF21" t="e">
        <f>AND(#REF!,"AAAAAHd6ex8=")</f>
        <v>#REF!</v>
      </c>
      <c r="AG21" t="e">
        <f>AND(#REF!,"AAAAAHd6eyA=")</f>
        <v>#REF!</v>
      </c>
      <c r="AH21" t="e">
        <f>AND(#REF!,"AAAAAHd6eyE=")</f>
        <v>#REF!</v>
      </c>
      <c r="AI21" t="e">
        <f>IF(#REF!,"AAAAAHd6eyI=",0)</f>
        <v>#REF!</v>
      </c>
      <c r="AJ21" t="e">
        <f>AND(#REF!,"AAAAAHd6eyM=")</f>
        <v>#REF!</v>
      </c>
      <c r="AK21" t="e">
        <f>AND(#REF!,"AAAAAHd6eyQ=")</f>
        <v>#REF!</v>
      </c>
      <c r="AL21" t="e">
        <f>AND(#REF!,"AAAAAHd6eyU=")</f>
        <v>#REF!</v>
      </c>
      <c r="AM21" t="e">
        <f>AND(#REF!,"AAAAAHd6eyY=")</f>
        <v>#REF!</v>
      </c>
      <c r="AN21" t="e">
        <f>AND(#REF!,"AAAAAHd6eyc=")</f>
        <v>#REF!</v>
      </c>
      <c r="AO21" t="e">
        <f>AND(#REF!,"AAAAAHd6eyg=")</f>
        <v>#REF!</v>
      </c>
      <c r="AP21" t="e">
        <f>AND(#REF!,"AAAAAHd6eyk=")</f>
        <v>#REF!</v>
      </c>
      <c r="AQ21" t="e">
        <f>AND(#REF!,"AAAAAHd6eyo=")</f>
        <v>#REF!</v>
      </c>
      <c r="AR21" t="e">
        <f>AND(#REF!,"AAAAAHd6eys=")</f>
        <v>#REF!</v>
      </c>
      <c r="AS21" t="e">
        <f>AND(#REF!,"AAAAAHd6eyw=")</f>
        <v>#REF!</v>
      </c>
      <c r="AT21" t="e">
        <f>AND(#REF!,"AAAAAHd6ey0=")</f>
        <v>#REF!</v>
      </c>
      <c r="AU21" t="e">
        <f>AND(#REF!,"AAAAAHd6ey4=")</f>
        <v>#REF!</v>
      </c>
      <c r="AV21" t="e">
        <f>AND(#REF!,"AAAAAHd6ey8=")</f>
        <v>#REF!</v>
      </c>
      <c r="AW21" t="e">
        <f>AND(#REF!,"AAAAAHd6ezA=")</f>
        <v>#REF!</v>
      </c>
      <c r="AX21" t="e">
        <f>AND(#REF!,"AAAAAHd6ezE=")</f>
        <v>#REF!</v>
      </c>
      <c r="AY21" t="e">
        <f>AND(#REF!,"AAAAAHd6ezI=")</f>
        <v>#REF!</v>
      </c>
      <c r="AZ21" t="e">
        <f>AND(#REF!,"AAAAAHd6ezM=")</f>
        <v>#REF!</v>
      </c>
      <c r="BA21" t="e">
        <f>AND(#REF!,"AAAAAHd6ezQ=")</f>
        <v>#REF!</v>
      </c>
      <c r="BB21" t="e">
        <f>AND(#REF!,"AAAAAHd6ezU=")</f>
        <v>#REF!</v>
      </c>
      <c r="BC21" t="e">
        <f>AND(#REF!,"AAAAAHd6ezY=")</f>
        <v>#REF!</v>
      </c>
      <c r="BD21" t="e">
        <f>AND(#REF!,"AAAAAHd6ezc=")</f>
        <v>#REF!</v>
      </c>
      <c r="BE21" t="e">
        <f>AND(#REF!,"AAAAAHd6ezg=")</f>
        <v>#REF!</v>
      </c>
      <c r="BF21" t="e">
        <f>AND(#REF!,"AAAAAHd6ezk=")</f>
        <v>#REF!</v>
      </c>
      <c r="BG21" t="e">
        <f>AND(#REF!,"AAAAAHd6ezo=")</f>
        <v>#REF!</v>
      </c>
      <c r="BH21" t="e">
        <f>AND(#REF!,"AAAAAHd6ezs=")</f>
        <v>#REF!</v>
      </c>
      <c r="BI21" t="e">
        <f>AND(#REF!,"AAAAAHd6ezw=")</f>
        <v>#REF!</v>
      </c>
      <c r="BJ21" t="e">
        <f>IF(#REF!,"AAAAAHd6ez0=",0)</f>
        <v>#REF!</v>
      </c>
      <c r="BK21" t="e">
        <f>AND(#REF!,"AAAAAHd6ez4=")</f>
        <v>#REF!</v>
      </c>
      <c r="BL21" t="e">
        <f>AND(#REF!,"AAAAAHd6ez8=")</f>
        <v>#REF!</v>
      </c>
      <c r="BM21" t="e">
        <f>AND(#REF!,"AAAAAHd6e0A=")</f>
        <v>#REF!</v>
      </c>
      <c r="BN21" t="e">
        <f>AND(#REF!,"AAAAAHd6e0E=")</f>
        <v>#REF!</v>
      </c>
      <c r="BO21" t="e">
        <f>AND(#REF!,"AAAAAHd6e0I=")</f>
        <v>#REF!</v>
      </c>
      <c r="BP21" t="e">
        <f>AND(#REF!,"AAAAAHd6e0M=")</f>
        <v>#REF!</v>
      </c>
      <c r="BQ21" t="e">
        <f>AND(#REF!,"AAAAAHd6e0Q=")</f>
        <v>#REF!</v>
      </c>
      <c r="BR21" t="e">
        <f>AND(#REF!,"AAAAAHd6e0U=")</f>
        <v>#REF!</v>
      </c>
      <c r="BS21" t="e">
        <f>AND(#REF!,"AAAAAHd6e0Y=")</f>
        <v>#REF!</v>
      </c>
      <c r="BT21" t="e">
        <f>AND(#REF!,"AAAAAHd6e0c=")</f>
        <v>#REF!</v>
      </c>
      <c r="BU21" t="e">
        <f>AND(#REF!,"AAAAAHd6e0g=")</f>
        <v>#REF!</v>
      </c>
      <c r="BV21" t="e">
        <f>AND(#REF!,"AAAAAHd6e0k=")</f>
        <v>#REF!</v>
      </c>
      <c r="BW21" t="e">
        <f>AND(#REF!,"AAAAAHd6e0o=")</f>
        <v>#REF!</v>
      </c>
      <c r="BX21" t="e">
        <f>AND(#REF!,"AAAAAHd6e0s=")</f>
        <v>#REF!</v>
      </c>
      <c r="BY21" t="e">
        <f>AND(#REF!,"AAAAAHd6e0w=")</f>
        <v>#REF!</v>
      </c>
      <c r="BZ21" t="e">
        <f>AND(#REF!,"AAAAAHd6e00=")</f>
        <v>#REF!</v>
      </c>
      <c r="CA21" t="e">
        <f>AND(#REF!,"AAAAAHd6e04=")</f>
        <v>#REF!</v>
      </c>
      <c r="CB21" t="e">
        <f>AND(#REF!,"AAAAAHd6e08=")</f>
        <v>#REF!</v>
      </c>
      <c r="CC21" t="e">
        <f>AND(#REF!,"AAAAAHd6e1A=")</f>
        <v>#REF!</v>
      </c>
      <c r="CD21" t="e">
        <f>AND(#REF!,"AAAAAHd6e1E=")</f>
        <v>#REF!</v>
      </c>
      <c r="CE21" t="e">
        <f>AND(#REF!,"AAAAAHd6e1I=")</f>
        <v>#REF!</v>
      </c>
      <c r="CF21" t="e">
        <f>AND(#REF!,"AAAAAHd6e1M=")</f>
        <v>#REF!</v>
      </c>
      <c r="CG21" t="e">
        <f>AND(#REF!,"AAAAAHd6e1Q=")</f>
        <v>#REF!</v>
      </c>
      <c r="CH21" t="e">
        <f>AND(#REF!,"AAAAAHd6e1U=")</f>
        <v>#REF!</v>
      </c>
      <c r="CI21" t="e">
        <f>AND(#REF!,"AAAAAHd6e1Y=")</f>
        <v>#REF!</v>
      </c>
      <c r="CJ21" t="e">
        <f>AND(#REF!,"AAAAAHd6e1c=")</f>
        <v>#REF!</v>
      </c>
      <c r="CK21" t="e">
        <f>IF(#REF!,"AAAAAHd6e1g=",0)</f>
        <v>#REF!</v>
      </c>
      <c r="CL21" t="e">
        <f>AND(#REF!,"AAAAAHd6e1k=")</f>
        <v>#REF!</v>
      </c>
      <c r="CM21" t="e">
        <f>AND(#REF!,"AAAAAHd6e1o=")</f>
        <v>#REF!</v>
      </c>
      <c r="CN21" t="e">
        <f>AND(#REF!,"AAAAAHd6e1s=")</f>
        <v>#REF!</v>
      </c>
      <c r="CO21" t="e">
        <f>AND(#REF!,"AAAAAHd6e1w=")</f>
        <v>#REF!</v>
      </c>
      <c r="CP21" t="e">
        <f>AND(#REF!,"AAAAAHd6e10=")</f>
        <v>#REF!</v>
      </c>
      <c r="CQ21" t="e">
        <f>AND(#REF!,"AAAAAHd6e14=")</f>
        <v>#REF!</v>
      </c>
      <c r="CR21" t="e">
        <f>AND(#REF!,"AAAAAHd6e18=")</f>
        <v>#REF!</v>
      </c>
      <c r="CS21" t="e">
        <f>AND(#REF!,"AAAAAHd6e2A=")</f>
        <v>#REF!</v>
      </c>
      <c r="CT21" t="e">
        <f>AND(#REF!,"AAAAAHd6e2E=")</f>
        <v>#REF!</v>
      </c>
      <c r="CU21" t="e">
        <f>AND(#REF!,"AAAAAHd6e2I=")</f>
        <v>#REF!</v>
      </c>
      <c r="CV21" t="e">
        <f>AND(#REF!,"AAAAAHd6e2M=")</f>
        <v>#REF!</v>
      </c>
      <c r="CW21" t="e">
        <f>AND(#REF!,"AAAAAHd6e2Q=")</f>
        <v>#REF!</v>
      </c>
      <c r="CX21" t="e">
        <f>AND(#REF!,"AAAAAHd6e2U=")</f>
        <v>#REF!</v>
      </c>
      <c r="CY21" t="e">
        <f>AND(#REF!,"AAAAAHd6e2Y=")</f>
        <v>#REF!</v>
      </c>
      <c r="CZ21" t="e">
        <f>AND(#REF!,"AAAAAHd6e2c=")</f>
        <v>#REF!</v>
      </c>
      <c r="DA21" t="e">
        <f>AND(#REF!,"AAAAAHd6e2g=")</f>
        <v>#REF!</v>
      </c>
      <c r="DB21" t="e">
        <f>AND(#REF!,"AAAAAHd6e2k=")</f>
        <v>#REF!</v>
      </c>
      <c r="DC21" t="e">
        <f>AND(#REF!,"AAAAAHd6e2o=")</f>
        <v>#REF!</v>
      </c>
      <c r="DD21" t="e">
        <f>AND(#REF!,"AAAAAHd6e2s=")</f>
        <v>#REF!</v>
      </c>
      <c r="DE21" t="e">
        <f>AND(#REF!,"AAAAAHd6e2w=")</f>
        <v>#REF!</v>
      </c>
      <c r="DF21" t="e">
        <f>AND(#REF!,"AAAAAHd6e20=")</f>
        <v>#REF!</v>
      </c>
      <c r="DG21" t="e">
        <f>AND(#REF!,"AAAAAHd6e24=")</f>
        <v>#REF!</v>
      </c>
      <c r="DH21" t="e">
        <f>AND(#REF!,"AAAAAHd6e28=")</f>
        <v>#REF!</v>
      </c>
      <c r="DI21" t="e">
        <f>AND(#REF!,"AAAAAHd6e3A=")</f>
        <v>#REF!</v>
      </c>
      <c r="DJ21" t="e">
        <f>AND(#REF!,"AAAAAHd6e3E=")</f>
        <v>#REF!</v>
      </c>
      <c r="DK21" t="e">
        <f>AND(#REF!,"AAAAAHd6e3I=")</f>
        <v>#REF!</v>
      </c>
      <c r="DL21" t="e">
        <f>IF(#REF!,"AAAAAHd6e3M=",0)</f>
        <v>#REF!</v>
      </c>
      <c r="DM21" t="e">
        <f>AND(#REF!,"AAAAAHd6e3Q=")</f>
        <v>#REF!</v>
      </c>
      <c r="DN21" t="e">
        <f>AND(#REF!,"AAAAAHd6e3U=")</f>
        <v>#REF!</v>
      </c>
      <c r="DO21" t="e">
        <f>AND(#REF!,"AAAAAHd6e3Y=")</f>
        <v>#REF!</v>
      </c>
      <c r="DP21" t="e">
        <f>AND(#REF!,"AAAAAHd6e3c=")</f>
        <v>#REF!</v>
      </c>
      <c r="DQ21" t="e">
        <f>AND(#REF!,"AAAAAHd6e3g=")</f>
        <v>#REF!</v>
      </c>
      <c r="DR21" t="e">
        <f>AND(#REF!,"AAAAAHd6e3k=")</f>
        <v>#REF!</v>
      </c>
      <c r="DS21" t="e">
        <f>AND(#REF!,"AAAAAHd6e3o=")</f>
        <v>#REF!</v>
      </c>
      <c r="DT21" t="e">
        <f>AND(#REF!,"AAAAAHd6e3s=")</f>
        <v>#REF!</v>
      </c>
      <c r="DU21" t="e">
        <f>AND(#REF!,"AAAAAHd6e3w=")</f>
        <v>#REF!</v>
      </c>
      <c r="DV21" t="e">
        <f>AND(#REF!,"AAAAAHd6e30=")</f>
        <v>#REF!</v>
      </c>
      <c r="DW21" t="e">
        <f>AND(#REF!,"AAAAAHd6e34=")</f>
        <v>#REF!</v>
      </c>
      <c r="DX21" t="e">
        <f>AND(#REF!,"AAAAAHd6e38=")</f>
        <v>#REF!</v>
      </c>
      <c r="DY21" t="e">
        <f>AND(#REF!,"AAAAAHd6e4A=")</f>
        <v>#REF!</v>
      </c>
      <c r="DZ21" t="e">
        <f>AND(#REF!,"AAAAAHd6e4E=")</f>
        <v>#REF!</v>
      </c>
      <c r="EA21" t="e">
        <f>AND(#REF!,"AAAAAHd6e4I=")</f>
        <v>#REF!</v>
      </c>
      <c r="EB21" t="e">
        <f>AND(#REF!,"AAAAAHd6e4M=")</f>
        <v>#REF!</v>
      </c>
      <c r="EC21" t="e">
        <f>AND(#REF!,"AAAAAHd6e4Q=")</f>
        <v>#REF!</v>
      </c>
      <c r="ED21" t="e">
        <f>AND(#REF!,"AAAAAHd6e4U=")</f>
        <v>#REF!</v>
      </c>
      <c r="EE21" t="e">
        <f>AND(#REF!,"AAAAAHd6e4Y=")</f>
        <v>#REF!</v>
      </c>
      <c r="EF21" t="e">
        <f>AND(#REF!,"AAAAAHd6e4c=")</f>
        <v>#REF!</v>
      </c>
      <c r="EG21" t="e">
        <f>AND(#REF!,"AAAAAHd6e4g=")</f>
        <v>#REF!</v>
      </c>
      <c r="EH21" t="e">
        <f>AND(#REF!,"AAAAAHd6e4k=")</f>
        <v>#REF!</v>
      </c>
      <c r="EI21" t="e">
        <f>AND(#REF!,"AAAAAHd6e4o=")</f>
        <v>#REF!</v>
      </c>
      <c r="EJ21" t="e">
        <f>AND(#REF!,"AAAAAHd6e4s=")</f>
        <v>#REF!</v>
      </c>
      <c r="EK21" t="e">
        <f>AND(#REF!,"AAAAAHd6e4w=")</f>
        <v>#REF!</v>
      </c>
      <c r="EL21" t="e">
        <f>AND(#REF!,"AAAAAHd6e40=")</f>
        <v>#REF!</v>
      </c>
      <c r="EM21" t="e">
        <f>IF(#REF!,"AAAAAHd6e44=",0)</f>
        <v>#REF!</v>
      </c>
      <c r="EN21" t="e">
        <f>AND(#REF!,"AAAAAHd6e48=")</f>
        <v>#REF!</v>
      </c>
      <c r="EO21" t="e">
        <f>AND(#REF!,"AAAAAHd6e5A=")</f>
        <v>#REF!</v>
      </c>
      <c r="EP21" t="e">
        <f>AND(#REF!,"AAAAAHd6e5E=")</f>
        <v>#REF!</v>
      </c>
      <c r="EQ21" t="e">
        <f>AND(#REF!,"AAAAAHd6e5I=")</f>
        <v>#REF!</v>
      </c>
      <c r="ER21" t="e">
        <f>AND(#REF!,"AAAAAHd6e5M=")</f>
        <v>#REF!</v>
      </c>
      <c r="ES21" t="e">
        <f>AND(#REF!,"AAAAAHd6e5Q=")</f>
        <v>#REF!</v>
      </c>
      <c r="ET21" t="e">
        <f>AND(#REF!,"AAAAAHd6e5U=")</f>
        <v>#REF!</v>
      </c>
      <c r="EU21" t="e">
        <f>AND(#REF!,"AAAAAHd6e5Y=")</f>
        <v>#REF!</v>
      </c>
      <c r="EV21" t="e">
        <f>AND(#REF!,"AAAAAHd6e5c=")</f>
        <v>#REF!</v>
      </c>
      <c r="EW21" t="e">
        <f>AND(#REF!,"AAAAAHd6e5g=")</f>
        <v>#REF!</v>
      </c>
      <c r="EX21" t="e">
        <f>AND(#REF!,"AAAAAHd6e5k=")</f>
        <v>#REF!</v>
      </c>
      <c r="EY21" t="e">
        <f>AND(#REF!,"AAAAAHd6e5o=")</f>
        <v>#REF!</v>
      </c>
      <c r="EZ21" t="e">
        <f>AND(#REF!,"AAAAAHd6e5s=")</f>
        <v>#REF!</v>
      </c>
      <c r="FA21" t="e">
        <f>AND(#REF!,"AAAAAHd6e5w=")</f>
        <v>#REF!</v>
      </c>
      <c r="FB21" t="e">
        <f>AND(#REF!,"AAAAAHd6e50=")</f>
        <v>#REF!</v>
      </c>
      <c r="FC21" t="e">
        <f>AND(#REF!,"AAAAAHd6e54=")</f>
        <v>#REF!</v>
      </c>
      <c r="FD21" t="e">
        <f>AND(#REF!,"AAAAAHd6e58=")</f>
        <v>#REF!</v>
      </c>
      <c r="FE21" t="e">
        <f>AND(#REF!,"AAAAAHd6e6A=")</f>
        <v>#REF!</v>
      </c>
      <c r="FF21" t="e">
        <f>AND(#REF!,"AAAAAHd6e6E=")</f>
        <v>#REF!</v>
      </c>
      <c r="FG21" t="e">
        <f>AND(#REF!,"AAAAAHd6e6I=")</f>
        <v>#REF!</v>
      </c>
      <c r="FH21" t="e">
        <f>AND(#REF!,"AAAAAHd6e6M=")</f>
        <v>#REF!</v>
      </c>
      <c r="FI21" t="e">
        <f>AND(#REF!,"AAAAAHd6e6Q=")</f>
        <v>#REF!</v>
      </c>
      <c r="FJ21" t="e">
        <f>AND(#REF!,"AAAAAHd6e6U=")</f>
        <v>#REF!</v>
      </c>
      <c r="FK21" t="e">
        <f>AND(#REF!,"AAAAAHd6e6Y=")</f>
        <v>#REF!</v>
      </c>
      <c r="FL21" t="e">
        <f>AND(#REF!,"AAAAAHd6e6c=")</f>
        <v>#REF!</v>
      </c>
      <c r="FM21" t="e">
        <f>AND(#REF!,"AAAAAHd6e6g=")</f>
        <v>#REF!</v>
      </c>
      <c r="FN21" t="e">
        <f>IF(#REF!,"AAAAAHd6e6k=",0)</f>
        <v>#REF!</v>
      </c>
      <c r="FO21" t="e">
        <f>AND(#REF!,"AAAAAHd6e6o=")</f>
        <v>#REF!</v>
      </c>
      <c r="FP21" t="e">
        <f>AND(#REF!,"AAAAAHd6e6s=")</f>
        <v>#REF!</v>
      </c>
      <c r="FQ21" t="e">
        <f>AND(#REF!,"AAAAAHd6e6w=")</f>
        <v>#REF!</v>
      </c>
      <c r="FR21" t="e">
        <f>AND(#REF!,"AAAAAHd6e60=")</f>
        <v>#REF!</v>
      </c>
      <c r="FS21" t="e">
        <f>AND(#REF!,"AAAAAHd6e64=")</f>
        <v>#REF!</v>
      </c>
      <c r="FT21" t="e">
        <f>AND(#REF!,"AAAAAHd6e68=")</f>
        <v>#REF!</v>
      </c>
      <c r="FU21" t="e">
        <f>AND(#REF!,"AAAAAHd6e7A=")</f>
        <v>#REF!</v>
      </c>
      <c r="FV21" t="e">
        <f>AND(#REF!,"AAAAAHd6e7E=")</f>
        <v>#REF!</v>
      </c>
      <c r="FW21" t="e">
        <f>AND(#REF!,"AAAAAHd6e7I=")</f>
        <v>#REF!</v>
      </c>
      <c r="FX21" t="e">
        <f>AND(#REF!,"AAAAAHd6e7M=")</f>
        <v>#REF!</v>
      </c>
      <c r="FY21" t="e">
        <f>AND(#REF!,"AAAAAHd6e7Q=")</f>
        <v>#REF!</v>
      </c>
      <c r="FZ21" t="e">
        <f>AND(#REF!,"AAAAAHd6e7U=")</f>
        <v>#REF!</v>
      </c>
      <c r="GA21" t="e">
        <f>AND(#REF!,"AAAAAHd6e7Y=")</f>
        <v>#REF!</v>
      </c>
      <c r="GB21" t="e">
        <f>AND(#REF!,"AAAAAHd6e7c=")</f>
        <v>#REF!</v>
      </c>
      <c r="GC21" t="e">
        <f>AND(#REF!,"AAAAAHd6e7g=")</f>
        <v>#REF!</v>
      </c>
      <c r="GD21" t="e">
        <f>AND(#REF!,"AAAAAHd6e7k=")</f>
        <v>#REF!</v>
      </c>
      <c r="GE21" t="e">
        <f>AND(#REF!,"AAAAAHd6e7o=")</f>
        <v>#REF!</v>
      </c>
      <c r="GF21" t="e">
        <f>AND(#REF!,"AAAAAHd6e7s=")</f>
        <v>#REF!</v>
      </c>
      <c r="GG21" t="e">
        <f>AND(#REF!,"AAAAAHd6e7w=")</f>
        <v>#REF!</v>
      </c>
      <c r="GH21" t="e">
        <f>AND(#REF!,"AAAAAHd6e70=")</f>
        <v>#REF!</v>
      </c>
      <c r="GI21" t="e">
        <f>AND(#REF!,"AAAAAHd6e74=")</f>
        <v>#REF!</v>
      </c>
      <c r="GJ21" t="e">
        <f>AND(#REF!,"AAAAAHd6e78=")</f>
        <v>#REF!</v>
      </c>
      <c r="GK21" t="e">
        <f>AND(#REF!,"AAAAAHd6e8A=")</f>
        <v>#REF!</v>
      </c>
      <c r="GL21" t="e">
        <f>AND(#REF!,"AAAAAHd6e8E=")</f>
        <v>#REF!</v>
      </c>
      <c r="GM21" t="e">
        <f>AND(#REF!,"AAAAAHd6e8I=")</f>
        <v>#REF!</v>
      </c>
      <c r="GN21" t="e">
        <f>AND(#REF!,"AAAAAHd6e8M=")</f>
        <v>#REF!</v>
      </c>
      <c r="GO21" t="e">
        <f>IF(#REF!,"AAAAAHd6e8Q=",0)</f>
        <v>#REF!</v>
      </c>
      <c r="GP21" t="e">
        <f>AND(#REF!,"AAAAAHd6e8U=")</f>
        <v>#REF!</v>
      </c>
      <c r="GQ21" t="e">
        <f>AND(#REF!,"AAAAAHd6e8Y=")</f>
        <v>#REF!</v>
      </c>
      <c r="GR21" t="e">
        <f>AND(#REF!,"AAAAAHd6e8c=")</f>
        <v>#REF!</v>
      </c>
      <c r="GS21" t="e">
        <f>AND(#REF!,"AAAAAHd6e8g=")</f>
        <v>#REF!</v>
      </c>
      <c r="GT21" t="e">
        <f>AND(#REF!,"AAAAAHd6e8k=")</f>
        <v>#REF!</v>
      </c>
      <c r="GU21" t="e">
        <f>AND(#REF!,"AAAAAHd6e8o=")</f>
        <v>#REF!</v>
      </c>
      <c r="GV21" t="e">
        <f>AND(#REF!,"AAAAAHd6e8s=")</f>
        <v>#REF!</v>
      </c>
      <c r="GW21" t="e">
        <f>AND(#REF!,"AAAAAHd6e8w=")</f>
        <v>#REF!</v>
      </c>
      <c r="GX21" t="e">
        <f>AND(#REF!,"AAAAAHd6e80=")</f>
        <v>#REF!</v>
      </c>
      <c r="GY21" t="e">
        <f>AND(#REF!,"AAAAAHd6e84=")</f>
        <v>#REF!</v>
      </c>
      <c r="GZ21" t="e">
        <f>AND(#REF!,"AAAAAHd6e88=")</f>
        <v>#REF!</v>
      </c>
      <c r="HA21" t="e">
        <f>AND(#REF!,"AAAAAHd6e9A=")</f>
        <v>#REF!</v>
      </c>
      <c r="HB21" t="e">
        <f>AND(#REF!,"AAAAAHd6e9E=")</f>
        <v>#REF!</v>
      </c>
      <c r="HC21" t="e">
        <f>AND(#REF!,"AAAAAHd6e9I=")</f>
        <v>#REF!</v>
      </c>
      <c r="HD21" t="e">
        <f>AND(#REF!,"AAAAAHd6e9M=")</f>
        <v>#REF!</v>
      </c>
      <c r="HE21" t="e">
        <f>AND(#REF!,"AAAAAHd6e9Q=")</f>
        <v>#REF!</v>
      </c>
      <c r="HF21" t="e">
        <f>AND(#REF!,"AAAAAHd6e9U=")</f>
        <v>#REF!</v>
      </c>
      <c r="HG21" t="e">
        <f>AND(#REF!,"AAAAAHd6e9Y=")</f>
        <v>#REF!</v>
      </c>
      <c r="HH21" t="e">
        <f>AND(#REF!,"AAAAAHd6e9c=")</f>
        <v>#REF!</v>
      </c>
      <c r="HI21" t="e">
        <f>AND(#REF!,"AAAAAHd6e9g=")</f>
        <v>#REF!</v>
      </c>
      <c r="HJ21" t="e">
        <f>AND(#REF!,"AAAAAHd6e9k=")</f>
        <v>#REF!</v>
      </c>
      <c r="HK21" t="e">
        <f>AND(#REF!,"AAAAAHd6e9o=")</f>
        <v>#REF!</v>
      </c>
      <c r="HL21" t="e">
        <f>AND(#REF!,"AAAAAHd6e9s=")</f>
        <v>#REF!</v>
      </c>
      <c r="HM21" t="e">
        <f>AND(#REF!,"AAAAAHd6e9w=")</f>
        <v>#REF!</v>
      </c>
      <c r="HN21" t="e">
        <f>AND(#REF!,"AAAAAHd6e90=")</f>
        <v>#REF!</v>
      </c>
      <c r="HO21" t="e">
        <f>AND(#REF!,"AAAAAHd6e94=")</f>
        <v>#REF!</v>
      </c>
      <c r="HP21" t="e">
        <f>IF(#REF!,"AAAAAHd6e98=",0)</f>
        <v>#REF!</v>
      </c>
      <c r="HQ21" t="e">
        <f>AND(#REF!,"AAAAAHd6e+A=")</f>
        <v>#REF!</v>
      </c>
      <c r="HR21" t="e">
        <f>AND(#REF!,"AAAAAHd6e+E=")</f>
        <v>#REF!</v>
      </c>
      <c r="HS21" t="e">
        <f>AND(#REF!,"AAAAAHd6e+I=")</f>
        <v>#REF!</v>
      </c>
      <c r="HT21" t="e">
        <f>AND(#REF!,"AAAAAHd6e+M=")</f>
        <v>#REF!</v>
      </c>
      <c r="HU21" t="e">
        <f>AND(#REF!,"AAAAAHd6e+Q=")</f>
        <v>#REF!</v>
      </c>
      <c r="HV21" t="e">
        <f>AND(#REF!,"AAAAAHd6e+U=")</f>
        <v>#REF!</v>
      </c>
      <c r="HW21" t="e">
        <f>AND(#REF!,"AAAAAHd6e+Y=")</f>
        <v>#REF!</v>
      </c>
      <c r="HX21" t="e">
        <f>AND(#REF!,"AAAAAHd6e+c=")</f>
        <v>#REF!</v>
      </c>
      <c r="HY21" t="e">
        <f>AND(#REF!,"AAAAAHd6e+g=")</f>
        <v>#REF!</v>
      </c>
      <c r="HZ21" t="e">
        <f>AND(#REF!,"AAAAAHd6e+k=")</f>
        <v>#REF!</v>
      </c>
      <c r="IA21" t="e">
        <f>AND(#REF!,"AAAAAHd6e+o=")</f>
        <v>#REF!</v>
      </c>
      <c r="IB21" t="e">
        <f>AND(#REF!,"AAAAAHd6e+s=")</f>
        <v>#REF!</v>
      </c>
      <c r="IC21" t="e">
        <f>AND(#REF!,"AAAAAHd6e+w=")</f>
        <v>#REF!</v>
      </c>
      <c r="ID21" t="e">
        <f>AND(#REF!,"AAAAAHd6e+0=")</f>
        <v>#REF!</v>
      </c>
      <c r="IE21" t="e">
        <f>AND(#REF!,"AAAAAHd6e+4=")</f>
        <v>#REF!</v>
      </c>
      <c r="IF21" t="e">
        <f>AND(#REF!,"AAAAAHd6e+8=")</f>
        <v>#REF!</v>
      </c>
      <c r="IG21" t="e">
        <f>AND(#REF!,"AAAAAHd6e/A=")</f>
        <v>#REF!</v>
      </c>
      <c r="IH21" t="e">
        <f>AND(#REF!,"AAAAAHd6e/E=")</f>
        <v>#REF!</v>
      </c>
      <c r="II21" t="e">
        <f>AND(#REF!,"AAAAAHd6e/I=")</f>
        <v>#REF!</v>
      </c>
      <c r="IJ21" t="e">
        <f>AND(#REF!,"AAAAAHd6e/M=")</f>
        <v>#REF!</v>
      </c>
      <c r="IK21" t="e">
        <f>AND(#REF!,"AAAAAHd6e/Q=")</f>
        <v>#REF!</v>
      </c>
      <c r="IL21" t="e">
        <f>AND(#REF!,"AAAAAHd6e/U=")</f>
        <v>#REF!</v>
      </c>
      <c r="IM21" t="e">
        <f>AND(#REF!,"AAAAAHd6e/Y=")</f>
        <v>#REF!</v>
      </c>
      <c r="IN21" t="e">
        <f>AND(#REF!,"AAAAAHd6e/c=")</f>
        <v>#REF!</v>
      </c>
      <c r="IO21" t="e">
        <f>AND(#REF!,"AAAAAHd6e/g=")</f>
        <v>#REF!</v>
      </c>
      <c r="IP21" t="e">
        <f>AND(#REF!,"AAAAAHd6e/k=")</f>
        <v>#REF!</v>
      </c>
      <c r="IQ21" t="e">
        <f>IF(#REF!,"AAAAAHd6e/o=",0)</f>
        <v>#REF!</v>
      </c>
      <c r="IR21" t="e">
        <f>AND(#REF!,"AAAAAHd6e/s=")</f>
        <v>#REF!</v>
      </c>
      <c r="IS21" t="e">
        <f>AND(#REF!,"AAAAAHd6e/w=")</f>
        <v>#REF!</v>
      </c>
      <c r="IT21" t="e">
        <f>AND(#REF!,"AAAAAHd6e/0=")</f>
        <v>#REF!</v>
      </c>
      <c r="IU21" t="e">
        <f>AND(#REF!,"AAAAAHd6e/4=")</f>
        <v>#REF!</v>
      </c>
      <c r="IV21" t="e">
        <f>AND(#REF!,"AAAAAHd6e/8=")</f>
        <v>#REF!</v>
      </c>
    </row>
    <row r="22" spans="1:256" x14ac:dyDescent="0.2">
      <c r="A22" t="e">
        <f>AND(#REF!,"AAAAAF7veAA=")</f>
        <v>#REF!</v>
      </c>
      <c r="B22" t="e">
        <f>AND(#REF!,"AAAAAF7veAE=")</f>
        <v>#REF!</v>
      </c>
      <c r="C22" t="e">
        <f>AND(#REF!,"AAAAAF7veAI=")</f>
        <v>#REF!</v>
      </c>
      <c r="D22" t="e">
        <f>AND(#REF!,"AAAAAF7veAM=")</f>
        <v>#REF!</v>
      </c>
      <c r="E22" t="e">
        <f>AND(#REF!,"AAAAAF7veAQ=")</f>
        <v>#REF!</v>
      </c>
      <c r="F22" t="e">
        <f>AND(#REF!,"AAAAAF7veAU=")</f>
        <v>#REF!</v>
      </c>
      <c r="G22" t="e">
        <f>AND(#REF!,"AAAAAF7veAY=")</f>
        <v>#REF!</v>
      </c>
      <c r="H22" t="e">
        <f>AND(#REF!,"AAAAAF7veAc=")</f>
        <v>#REF!</v>
      </c>
      <c r="I22" t="e">
        <f>AND(#REF!,"AAAAAF7veAg=")</f>
        <v>#REF!</v>
      </c>
      <c r="J22" t="e">
        <f>AND(#REF!,"AAAAAF7veAk=")</f>
        <v>#REF!</v>
      </c>
      <c r="K22" t="e">
        <f>AND(#REF!,"AAAAAF7veAo=")</f>
        <v>#REF!</v>
      </c>
      <c r="L22" t="e">
        <f>AND(#REF!,"AAAAAF7veAs=")</f>
        <v>#REF!</v>
      </c>
      <c r="M22" t="e">
        <f>AND(#REF!,"AAAAAF7veAw=")</f>
        <v>#REF!</v>
      </c>
      <c r="N22" t="e">
        <f>AND(#REF!,"AAAAAF7veA0=")</f>
        <v>#REF!</v>
      </c>
      <c r="O22" t="e">
        <f>AND(#REF!,"AAAAAF7veA4=")</f>
        <v>#REF!</v>
      </c>
      <c r="P22" t="e">
        <f>AND(#REF!,"AAAAAF7veA8=")</f>
        <v>#REF!</v>
      </c>
      <c r="Q22" t="e">
        <f>AND(#REF!,"AAAAAF7veBA=")</f>
        <v>#REF!</v>
      </c>
      <c r="R22" t="e">
        <f>AND(#REF!,"AAAAAF7veBE=")</f>
        <v>#REF!</v>
      </c>
      <c r="S22" t="e">
        <f>AND(#REF!,"AAAAAF7veBI=")</f>
        <v>#REF!</v>
      </c>
      <c r="T22" t="e">
        <f>AND(#REF!,"AAAAAF7veBM=")</f>
        <v>#REF!</v>
      </c>
      <c r="U22" t="e">
        <f>AND(#REF!,"AAAAAF7veBQ=")</f>
        <v>#REF!</v>
      </c>
      <c r="V22" t="e">
        <f>IF(#REF!,"AAAAAF7veBU=",0)</f>
        <v>#REF!</v>
      </c>
      <c r="W22" t="e">
        <f>AND(#REF!,"AAAAAF7veBY=")</f>
        <v>#REF!</v>
      </c>
      <c r="X22" t="e">
        <f>AND(#REF!,"AAAAAF7veBc=")</f>
        <v>#REF!</v>
      </c>
      <c r="Y22" t="e">
        <f>AND(#REF!,"AAAAAF7veBg=")</f>
        <v>#REF!</v>
      </c>
      <c r="Z22" t="e">
        <f>AND(#REF!,"AAAAAF7veBk=")</f>
        <v>#REF!</v>
      </c>
      <c r="AA22" t="e">
        <f>AND(#REF!,"AAAAAF7veBo=")</f>
        <v>#REF!</v>
      </c>
      <c r="AB22" t="e">
        <f>AND(#REF!,"AAAAAF7veBs=")</f>
        <v>#REF!</v>
      </c>
      <c r="AC22" t="e">
        <f>AND(#REF!,"AAAAAF7veBw=")</f>
        <v>#REF!</v>
      </c>
      <c r="AD22" t="e">
        <f>AND(#REF!,"AAAAAF7veB0=")</f>
        <v>#REF!</v>
      </c>
      <c r="AE22" t="e">
        <f>AND(#REF!,"AAAAAF7veB4=")</f>
        <v>#REF!</v>
      </c>
      <c r="AF22" t="e">
        <f>AND(#REF!,"AAAAAF7veB8=")</f>
        <v>#REF!</v>
      </c>
      <c r="AG22" t="e">
        <f>AND(#REF!,"AAAAAF7veCA=")</f>
        <v>#REF!</v>
      </c>
      <c r="AH22" t="e">
        <f>AND(#REF!,"AAAAAF7veCE=")</f>
        <v>#REF!</v>
      </c>
      <c r="AI22" t="e">
        <f>AND(#REF!,"AAAAAF7veCI=")</f>
        <v>#REF!</v>
      </c>
      <c r="AJ22" t="e">
        <f>AND(#REF!,"AAAAAF7veCM=")</f>
        <v>#REF!</v>
      </c>
      <c r="AK22" t="e">
        <f>AND(#REF!,"AAAAAF7veCQ=")</f>
        <v>#REF!</v>
      </c>
      <c r="AL22" t="e">
        <f>AND(#REF!,"AAAAAF7veCU=")</f>
        <v>#REF!</v>
      </c>
      <c r="AM22" t="e">
        <f>AND(#REF!,"AAAAAF7veCY=")</f>
        <v>#REF!</v>
      </c>
      <c r="AN22" t="e">
        <f>AND(#REF!,"AAAAAF7veCc=")</f>
        <v>#REF!</v>
      </c>
      <c r="AO22" t="e">
        <f>AND(#REF!,"AAAAAF7veCg=")</f>
        <v>#REF!</v>
      </c>
      <c r="AP22" t="e">
        <f>AND(#REF!,"AAAAAF7veCk=")</f>
        <v>#REF!</v>
      </c>
      <c r="AQ22" t="e">
        <f>AND(#REF!,"AAAAAF7veCo=")</f>
        <v>#REF!</v>
      </c>
      <c r="AR22" t="e">
        <f>AND(#REF!,"AAAAAF7veCs=")</f>
        <v>#REF!</v>
      </c>
      <c r="AS22" t="e">
        <f>AND(#REF!,"AAAAAF7veCw=")</f>
        <v>#REF!</v>
      </c>
      <c r="AT22" t="e">
        <f>AND(#REF!,"AAAAAF7veC0=")</f>
        <v>#REF!</v>
      </c>
      <c r="AU22" t="e">
        <f>AND(#REF!,"AAAAAF7veC4=")</f>
        <v>#REF!</v>
      </c>
      <c r="AV22" t="e">
        <f>AND(#REF!,"AAAAAF7veC8=")</f>
        <v>#REF!</v>
      </c>
      <c r="AW22" t="e">
        <f>IF(#REF!,"AAAAAF7veDA=",0)</f>
        <v>#REF!</v>
      </c>
      <c r="AX22" t="e">
        <f>AND(#REF!,"AAAAAF7veDE=")</f>
        <v>#REF!</v>
      </c>
      <c r="AY22" t="e">
        <f>AND(#REF!,"AAAAAF7veDI=")</f>
        <v>#REF!</v>
      </c>
      <c r="AZ22" t="e">
        <f>AND(#REF!,"AAAAAF7veDM=")</f>
        <v>#REF!</v>
      </c>
      <c r="BA22" t="e">
        <f>AND(#REF!,"AAAAAF7veDQ=")</f>
        <v>#REF!</v>
      </c>
      <c r="BB22" t="e">
        <f>AND(#REF!,"AAAAAF7veDU=")</f>
        <v>#REF!</v>
      </c>
      <c r="BC22" t="e">
        <f>AND(#REF!,"AAAAAF7veDY=")</f>
        <v>#REF!</v>
      </c>
      <c r="BD22" t="e">
        <f>AND(#REF!,"AAAAAF7veDc=")</f>
        <v>#REF!</v>
      </c>
      <c r="BE22" t="e">
        <f>AND(#REF!,"AAAAAF7veDg=")</f>
        <v>#REF!</v>
      </c>
      <c r="BF22" t="e">
        <f>AND(#REF!,"AAAAAF7veDk=")</f>
        <v>#REF!</v>
      </c>
      <c r="BG22" t="e">
        <f>AND(#REF!,"AAAAAF7veDo=")</f>
        <v>#REF!</v>
      </c>
      <c r="BH22" t="e">
        <f>AND(#REF!,"AAAAAF7veDs=")</f>
        <v>#REF!</v>
      </c>
      <c r="BI22" t="e">
        <f>AND(#REF!,"AAAAAF7veDw=")</f>
        <v>#REF!</v>
      </c>
      <c r="BJ22" t="e">
        <f>AND(#REF!,"AAAAAF7veD0=")</f>
        <v>#REF!</v>
      </c>
      <c r="BK22" t="e">
        <f>AND(#REF!,"AAAAAF7veD4=")</f>
        <v>#REF!</v>
      </c>
      <c r="BL22" t="e">
        <f>AND(#REF!,"AAAAAF7veD8=")</f>
        <v>#REF!</v>
      </c>
      <c r="BM22" t="e">
        <f>AND(#REF!,"AAAAAF7veEA=")</f>
        <v>#REF!</v>
      </c>
      <c r="BN22" t="e">
        <f>AND(#REF!,"AAAAAF7veEE=")</f>
        <v>#REF!</v>
      </c>
      <c r="BO22" t="e">
        <f>AND(#REF!,"AAAAAF7veEI=")</f>
        <v>#REF!</v>
      </c>
      <c r="BP22" t="e">
        <f>AND(#REF!,"AAAAAF7veEM=")</f>
        <v>#REF!</v>
      </c>
      <c r="BQ22" t="e">
        <f>AND(#REF!,"AAAAAF7veEQ=")</f>
        <v>#REF!</v>
      </c>
      <c r="BR22" t="e">
        <f>AND(#REF!,"AAAAAF7veEU=")</f>
        <v>#REF!</v>
      </c>
      <c r="BS22" t="e">
        <f>AND(#REF!,"AAAAAF7veEY=")</f>
        <v>#REF!</v>
      </c>
      <c r="BT22" t="e">
        <f>AND(#REF!,"AAAAAF7veEc=")</f>
        <v>#REF!</v>
      </c>
      <c r="BU22" t="e">
        <f>AND(#REF!,"AAAAAF7veEg=")</f>
        <v>#REF!</v>
      </c>
      <c r="BV22" t="e">
        <f>AND(#REF!,"AAAAAF7veEk=")</f>
        <v>#REF!</v>
      </c>
      <c r="BW22" t="e">
        <f>AND(#REF!,"AAAAAF7veEo=")</f>
        <v>#REF!</v>
      </c>
      <c r="BX22" t="e">
        <f>IF(#REF!,"AAAAAF7veEs=",0)</f>
        <v>#REF!</v>
      </c>
      <c r="BY22" t="e">
        <f>AND(#REF!,"AAAAAF7veEw=")</f>
        <v>#REF!</v>
      </c>
      <c r="BZ22" t="e">
        <f>AND(#REF!,"AAAAAF7veE0=")</f>
        <v>#REF!</v>
      </c>
      <c r="CA22" t="e">
        <f>AND(#REF!,"AAAAAF7veE4=")</f>
        <v>#REF!</v>
      </c>
      <c r="CB22" t="e">
        <f>AND(#REF!,"AAAAAF7veE8=")</f>
        <v>#REF!</v>
      </c>
      <c r="CC22" t="e">
        <f>AND(#REF!,"AAAAAF7veFA=")</f>
        <v>#REF!</v>
      </c>
      <c r="CD22" t="e">
        <f>AND(#REF!,"AAAAAF7veFE=")</f>
        <v>#REF!</v>
      </c>
      <c r="CE22" t="e">
        <f>AND(#REF!,"AAAAAF7veFI=")</f>
        <v>#REF!</v>
      </c>
      <c r="CF22" t="e">
        <f>AND(#REF!,"AAAAAF7veFM=")</f>
        <v>#REF!</v>
      </c>
      <c r="CG22" t="e">
        <f>AND(#REF!,"AAAAAF7veFQ=")</f>
        <v>#REF!</v>
      </c>
      <c r="CH22" t="e">
        <f>AND(#REF!,"AAAAAF7veFU=")</f>
        <v>#REF!</v>
      </c>
      <c r="CI22" t="e">
        <f>AND(#REF!,"AAAAAF7veFY=")</f>
        <v>#REF!</v>
      </c>
      <c r="CJ22" t="e">
        <f>AND(#REF!,"AAAAAF7veFc=")</f>
        <v>#REF!</v>
      </c>
      <c r="CK22" t="e">
        <f>AND(#REF!,"AAAAAF7veFg=")</f>
        <v>#REF!</v>
      </c>
      <c r="CL22" t="e">
        <f>AND(#REF!,"AAAAAF7veFk=")</f>
        <v>#REF!</v>
      </c>
      <c r="CM22" t="e">
        <f>AND(#REF!,"AAAAAF7veFo=")</f>
        <v>#REF!</v>
      </c>
      <c r="CN22" t="e">
        <f>AND(#REF!,"AAAAAF7veFs=")</f>
        <v>#REF!</v>
      </c>
      <c r="CO22" t="e">
        <f>AND(#REF!,"AAAAAF7veFw=")</f>
        <v>#REF!</v>
      </c>
      <c r="CP22" t="e">
        <f>AND(#REF!,"AAAAAF7veF0=")</f>
        <v>#REF!</v>
      </c>
      <c r="CQ22" t="e">
        <f>AND(#REF!,"AAAAAF7veF4=")</f>
        <v>#REF!</v>
      </c>
      <c r="CR22" t="e">
        <f>AND(#REF!,"AAAAAF7veF8=")</f>
        <v>#REF!</v>
      </c>
      <c r="CS22" t="e">
        <f>AND(#REF!,"AAAAAF7veGA=")</f>
        <v>#REF!</v>
      </c>
      <c r="CT22" t="e">
        <f>AND(#REF!,"AAAAAF7veGE=")</f>
        <v>#REF!</v>
      </c>
      <c r="CU22" t="e">
        <f>AND(#REF!,"AAAAAF7veGI=")</f>
        <v>#REF!</v>
      </c>
      <c r="CV22" t="e">
        <f>AND(#REF!,"AAAAAF7veGM=")</f>
        <v>#REF!</v>
      </c>
      <c r="CW22" t="e">
        <f>AND(#REF!,"AAAAAF7veGQ=")</f>
        <v>#REF!</v>
      </c>
      <c r="CX22" t="e">
        <f>AND(#REF!,"AAAAAF7veGU=")</f>
        <v>#REF!</v>
      </c>
      <c r="CY22" t="e">
        <f>IF(#REF!,"AAAAAF7veGY=",0)</f>
        <v>#REF!</v>
      </c>
      <c r="CZ22" t="e">
        <f>AND(#REF!,"AAAAAF7veGc=")</f>
        <v>#REF!</v>
      </c>
      <c r="DA22" t="e">
        <f>AND(#REF!,"AAAAAF7veGg=")</f>
        <v>#REF!</v>
      </c>
      <c r="DB22" t="e">
        <f>AND(#REF!,"AAAAAF7veGk=")</f>
        <v>#REF!</v>
      </c>
      <c r="DC22" t="e">
        <f>AND(#REF!,"AAAAAF7veGo=")</f>
        <v>#REF!</v>
      </c>
      <c r="DD22" t="e">
        <f>AND(#REF!,"AAAAAF7veGs=")</f>
        <v>#REF!</v>
      </c>
      <c r="DE22" t="e">
        <f>AND(#REF!,"AAAAAF7veGw=")</f>
        <v>#REF!</v>
      </c>
      <c r="DF22" t="e">
        <f>AND(#REF!,"AAAAAF7veG0=")</f>
        <v>#REF!</v>
      </c>
      <c r="DG22" t="e">
        <f>AND(#REF!,"AAAAAF7veG4=")</f>
        <v>#REF!</v>
      </c>
      <c r="DH22" t="e">
        <f>AND(#REF!,"AAAAAF7veG8=")</f>
        <v>#REF!</v>
      </c>
      <c r="DI22" t="e">
        <f>AND(#REF!,"AAAAAF7veHA=")</f>
        <v>#REF!</v>
      </c>
      <c r="DJ22" t="e">
        <f>AND(#REF!,"AAAAAF7veHE=")</f>
        <v>#REF!</v>
      </c>
      <c r="DK22" t="e">
        <f>AND(#REF!,"AAAAAF7veHI=")</f>
        <v>#REF!</v>
      </c>
      <c r="DL22" t="e">
        <f>AND(#REF!,"AAAAAF7veHM=")</f>
        <v>#REF!</v>
      </c>
      <c r="DM22" t="e">
        <f>AND(#REF!,"AAAAAF7veHQ=")</f>
        <v>#REF!</v>
      </c>
      <c r="DN22" t="e">
        <f>AND(#REF!,"AAAAAF7veHU=")</f>
        <v>#REF!</v>
      </c>
      <c r="DO22" t="e">
        <f>AND(#REF!,"AAAAAF7veHY=")</f>
        <v>#REF!</v>
      </c>
      <c r="DP22" t="e">
        <f>AND(#REF!,"AAAAAF7veHc=")</f>
        <v>#REF!</v>
      </c>
      <c r="DQ22" t="e">
        <f>AND(#REF!,"AAAAAF7veHg=")</f>
        <v>#REF!</v>
      </c>
      <c r="DR22" t="e">
        <f>AND(#REF!,"AAAAAF7veHk=")</f>
        <v>#REF!</v>
      </c>
      <c r="DS22" t="e">
        <f>AND(#REF!,"AAAAAF7veHo=")</f>
        <v>#REF!</v>
      </c>
      <c r="DT22" t="e">
        <f>AND(#REF!,"AAAAAF7veHs=")</f>
        <v>#REF!</v>
      </c>
      <c r="DU22" t="e">
        <f>AND(#REF!,"AAAAAF7veHw=")</f>
        <v>#REF!</v>
      </c>
      <c r="DV22" t="e">
        <f>AND(#REF!,"AAAAAF7veH0=")</f>
        <v>#REF!</v>
      </c>
      <c r="DW22" t="e">
        <f>AND(#REF!,"AAAAAF7veH4=")</f>
        <v>#REF!</v>
      </c>
      <c r="DX22" t="e">
        <f>AND(#REF!,"AAAAAF7veH8=")</f>
        <v>#REF!</v>
      </c>
      <c r="DY22" t="e">
        <f>AND(#REF!,"AAAAAF7veIA=")</f>
        <v>#REF!</v>
      </c>
      <c r="DZ22" t="e">
        <f>IF(#REF!,"AAAAAF7veIE=",0)</f>
        <v>#REF!</v>
      </c>
      <c r="EA22" t="e">
        <f>AND(#REF!,"AAAAAF7veII=")</f>
        <v>#REF!</v>
      </c>
      <c r="EB22" t="e">
        <f>AND(#REF!,"AAAAAF7veIM=")</f>
        <v>#REF!</v>
      </c>
      <c r="EC22" t="e">
        <f>AND(#REF!,"AAAAAF7veIQ=")</f>
        <v>#REF!</v>
      </c>
      <c r="ED22" t="e">
        <f>AND(#REF!,"AAAAAF7veIU=")</f>
        <v>#REF!</v>
      </c>
      <c r="EE22" t="e">
        <f>AND(#REF!,"AAAAAF7veIY=")</f>
        <v>#REF!</v>
      </c>
      <c r="EF22" t="e">
        <f>AND(#REF!,"AAAAAF7veIc=")</f>
        <v>#REF!</v>
      </c>
      <c r="EG22" t="e">
        <f>AND(#REF!,"AAAAAF7veIg=")</f>
        <v>#REF!</v>
      </c>
      <c r="EH22" t="e">
        <f>AND(#REF!,"AAAAAF7veIk=")</f>
        <v>#REF!</v>
      </c>
      <c r="EI22" t="e">
        <f>AND(#REF!,"AAAAAF7veIo=")</f>
        <v>#REF!</v>
      </c>
      <c r="EJ22" t="e">
        <f>AND(#REF!,"AAAAAF7veIs=")</f>
        <v>#REF!</v>
      </c>
      <c r="EK22" t="e">
        <f>AND(#REF!,"AAAAAF7veIw=")</f>
        <v>#REF!</v>
      </c>
      <c r="EL22" t="e">
        <f>AND(#REF!,"AAAAAF7veI0=")</f>
        <v>#REF!</v>
      </c>
      <c r="EM22" t="e">
        <f>AND(#REF!,"AAAAAF7veI4=")</f>
        <v>#REF!</v>
      </c>
      <c r="EN22" t="e">
        <f>AND(#REF!,"AAAAAF7veI8=")</f>
        <v>#REF!</v>
      </c>
      <c r="EO22" t="e">
        <f>AND(#REF!,"AAAAAF7veJA=")</f>
        <v>#REF!</v>
      </c>
      <c r="EP22" t="e">
        <f>AND(#REF!,"AAAAAF7veJE=")</f>
        <v>#REF!</v>
      </c>
      <c r="EQ22" t="e">
        <f>AND(#REF!,"AAAAAF7veJI=")</f>
        <v>#REF!</v>
      </c>
      <c r="ER22" t="e">
        <f>AND(#REF!,"AAAAAF7veJM=")</f>
        <v>#REF!</v>
      </c>
      <c r="ES22" t="e">
        <f>AND(#REF!,"AAAAAF7veJQ=")</f>
        <v>#REF!</v>
      </c>
      <c r="ET22" t="e">
        <f>AND(#REF!,"AAAAAF7veJU=")</f>
        <v>#REF!</v>
      </c>
      <c r="EU22" t="e">
        <f>AND(#REF!,"AAAAAF7veJY=")</f>
        <v>#REF!</v>
      </c>
      <c r="EV22" t="e">
        <f>AND(#REF!,"AAAAAF7veJc=")</f>
        <v>#REF!</v>
      </c>
      <c r="EW22" t="e">
        <f>AND(#REF!,"AAAAAF7veJg=")</f>
        <v>#REF!</v>
      </c>
      <c r="EX22" t="e">
        <f>AND(#REF!,"AAAAAF7veJk=")</f>
        <v>#REF!</v>
      </c>
      <c r="EY22" t="e">
        <f>AND(#REF!,"AAAAAF7veJo=")</f>
        <v>#REF!</v>
      </c>
      <c r="EZ22" t="e">
        <f>AND(#REF!,"AAAAAF7veJs=")</f>
        <v>#REF!</v>
      </c>
      <c r="FA22" t="e">
        <f>IF(#REF!,"AAAAAF7veJw=",0)</f>
        <v>#REF!</v>
      </c>
      <c r="FB22" t="e">
        <f>AND(#REF!,"AAAAAF7veJ0=")</f>
        <v>#REF!</v>
      </c>
      <c r="FC22" t="e">
        <f>AND(#REF!,"AAAAAF7veJ4=")</f>
        <v>#REF!</v>
      </c>
      <c r="FD22" t="e">
        <f>AND(#REF!,"AAAAAF7veJ8=")</f>
        <v>#REF!</v>
      </c>
      <c r="FE22" t="e">
        <f>AND(#REF!,"AAAAAF7veKA=")</f>
        <v>#REF!</v>
      </c>
      <c r="FF22" t="e">
        <f>AND(#REF!,"AAAAAF7veKE=")</f>
        <v>#REF!</v>
      </c>
      <c r="FG22" t="e">
        <f>AND(#REF!,"AAAAAF7veKI=")</f>
        <v>#REF!</v>
      </c>
      <c r="FH22" t="e">
        <f>AND(#REF!,"AAAAAF7veKM=")</f>
        <v>#REF!</v>
      </c>
      <c r="FI22" t="e">
        <f>AND(#REF!,"AAAAAF7veKQ=")</f>
        <v>#REF!</v>
      </c>
      <c r="FJ22" t="e">
        <f>AND(#REF!,"AAAAAF7veKU=")</f>
        <v>#REF!</v>
      </c>
      <c r="FK22" t="e">
        <f>AND(#REF!,"AAAAAF7veKY=")</f>
        <v>#REF!</v>
      </c>
      <c r="FL22" t="e">
        <f>AND(#REF!,"AAAAAF7veKc=")</f>
        <v>#REF!</v>
      </c>
      <c r="FM22" t="e">
        <f>AND(#REF!,"AAAAAF7veKg=")</f>
        <v>#REF!</v>
      </c>
      <c r="FN22" t="e">
        <f>AND(#REF!,"AAAAAF7veKk=")</f>
        <v>#REF!</v>
      </c>
      <c r="FO22" t="e">
        <f>AND(#REF!,"AAAAAF7veKo=")</f>
        <v>#REF!</v>
      </c>
      <c r="FP22" t="e">
        <f>AND(#REF!,"AAAAAF7veKs=")</f>
        <v>#REF!</v>
      </c>
      <c r="FQ22" t="e">
        <f>AND(#REF!,"AAAAAF7veKw=")</f>
        <v>#REF!</v>
      </c>
      <c r="FR22" t="e">
        <f>AND(#REF!,"AAAAAF7veK0=")</f>
        <v>#REF!</v>
      </c>
      <c r="FS22" t="e">
        <f>AND(#REF!,"AAAAAF7veK4=")</f>
        <v>#REF!</v>
      </c>
      <c r="FT22" t="e">
        <f>AND(#REF!,"AAAAAF7veK8=")</f>
        <v>#REF!</v>
      </c>
      <c r="FU22" t="e">
        <f>AND(#REF!,"AAAAAF7veLA=")</f>
        <v>#REF!</v>
      </c>
      <c r="FV22" t="e">
        <f>AND(#REF!,"AAAAAF7veLE=")</f>
        <v>#REF!</v>
      </c>
      <c r="FW22" t="e">
        <f>AND(#REF!,"AAAAAF7veLI=")</f>
        <v>#REF!</v>
      </c>
      <c r="FX22" t="e">
        <f>AND(#REF!,"AAAAAF7veLM=")</f>
        <v>#REF!</v>
      </c>
      <c r="FY22" t="e">
        <f>AND(#REF!,"AAAAAF7veLQ=")</f>
        <v>#REF!</v>
      </c>
      <c r="FZ22" t="e">
        <f>AND(#REF!,"AAAAAF7veLU=")</f>
        <v>#REF!</v>
      </c>
      <c r="GA22" t="e">
        <f>AND(#REF!,"AAAAAF7veLY=")</f>
        <v>#REF!</v>
      </c>
      <c r="GB22" t="e">
        <f>IF(#REF!,"AAAAAF7veLc=",0)</f>
        <v>#REF!</v>
      </c>
      <c r="GC22" t="e">
        <f>AND(#REF!,"AAAAAF7veLg=")</f>
        <v>#REF!</v>
      </c>
      <c r="GD22" t="e">
        <f>AND(#REF!,"AAAAAF7veLk=")</f>
        <v>#REF!</v>
      </c>
      <c r="GE22" t="e">
        <f>AND(#REF!,"AAAAAF7veLo=")</f>
        <v>#REF!</v>
      </c>
      <c r="GF22" t="e">
        <f>AND(#REF!,"AAAAAF7veLs=")</f>
        <v>#REF!</v>
      </c>
      <c r="GG22" t="e">
        <f>AND(#REF!,"AAAAAF7veLw=")</f>
        <v>#REF!</v>
      </c>
      <c r="GH22" t="e">
        <f>AND(#REF!,"AAAAAF7veL0=")</f>
        <v>#REF!</v>
      </c>
      <c r="GI22" t="e">
        <f>AND(#REF!,"AAAAAF7veL4=")</f>
        <v>#REF!</v>
      </c>
      <c r="GJ22" t="e">
        <f>AND(#REF!,"AAAAAF7veL8=")</f>
        <v>#REF!</v>
      </c>
      <c r="GK22" t="e">
        <f>AND(#REF!,"AAAAAF7veMA=")</f>
        <v>#REF!</v>
      </c>
      <c r="GL22" t="e">
        <f>AND(#REF!,"AAAAAF7veME=")</f>
        <v>#REF!</v>
      </c>
      <c r="GM22" t="e">
        <f>AND(#REF!,"AAAAAF7veMI=")</f>
        <v>#REF!</v>
      </c>
      <c r="GN22" t="e">
        <f>AND(#REF!,"AAAAAF7veMM=")</f>
        <v>#REF!</v>
      </c>
      <c r="GO22" t="e">
        <f>AND(#REF!,"AAAAAF7veMQ=")</f>
        <v>#REF!</v>
      </c>
      <c r="GP22" t="e">
        <f>AND(#REF!,"AAAAAF7veMU=")</f>
        <v>#REF!</v>
      </c>
      <c r="GQ22" t="e">
        <f>AND(#REF!,"AAAAAF7veMY=")</f>
        <v>#REF!</v>
      </c>
      <c r="GR22" t="e">
        <f>AND(#REF!,"AAAAAF7veMc=")</f>
        <v>#REF!</v>
      </c>
      <c r="GS22" t="e">
        <f>AND(#REF!,"AAAAAF7veMg=")</f>
        <v>#REF!</v>
      </c>
      <c r="GT22" t="e">
        <f>AND(#REF!,"AAAAAF7veMk=")</f>
        <v>#REF!</v>
      </c>
      <c r="GU22" t="e">
        <f>AND(#REF!,"AAAAAF7veMo=")</f>
        <v>#REF!</v>
      </c>
      <c r="GV22" t="e">
        <f>AND(#REF!,"AAAAAF7veMs=")</f>
        <v>#REF!</v>
      </c>
      <c r="GW22" t="e">
        <f>AND(#REF!,"AAAAAF7veMw=")</f>
        <v>#REF!</v>
      </c>
      <c r="GX22" t="e">
        <f>AND(#REF!,"AAAAAF7veM0=")</f>
        <v>#REF!</v>
      </c>
      <c r="GY22" t="e">
        <f>AND(#REF!,"AAAAAF7veM4=")</f>
        <v>#REF!</v>
      </c>
      <c r="GZ22" t="e">
        <f>AND(#REF!,"AAAAAF7veM8=")</f>
        <v>#REF!</v>
      </c>
      <c r="HA22" t="e">
        <f>AND(#REF!,"AAAAAF7veNA=")</f>
        <v>#REF!</v>
      </c>
      <c r="HB22" t="e">
        <f>AND(#REF!,"AAAAAF7veNE=")</f>
        <v>#REF!</v>
      </c>
      <c r="HC22" t="e">
        <f>IF(#REF!,"AAAAAF7veNI=",0)</f>
        <v>#REF!</v>
      </c>
      <c r="HD22" t="e">
        <f>IF(#REF!,"AAAAAF7veNM=",0)</f>
        <v>#REF!</v>
      </c>
      <c r="HE22" t="e">
        <f>IF(#REF!,"AAAAAF7veNQ=",0)</f>
        <v>#REF!</v>
      </c>
      <c r="HF22" t="e">
        <f>IF(#REF!,"AAAAAF7veNU=",0)</f>
        <v>#REF!</v>
      </c>
      <c r="HG22" t="e">
        <f>IF(#REF!,"AAAAAF7veNY=",0)</f>
        <v>#REF!</v>
      </c>
      <c r="HH22" t="e">
        <f>IF(#REF!,"AAAAAF7veNc=",0)</f>
        <v>#REF!</v>
      </c>
      <c r="HI22" t="e">
        <f>IF(#REF!,"AAAAAF7veNg=",0)</f>
        <v>#REF!</v>
      </c>
      <c r="HJ22" t="e">
        <f>IF(#REF!,"AAAAAF7veNk=",0)</f>
        <v>#REF!</v>
      </c>
      <c r="HK22" t="e">
        <f>IF(#REF!,"AAAAAF7veNo=",0)</f>
        <v>#REF!</v>
      </c>
      <c r="HL22" t="e">
        <f>IF(#REF!,"AAAAAF7veNs=",0)</f>
        <v>#REF!</v>
      </c>
      <c r="HM22" t="e">
        <f>IF(#REF!,"AAAAAF7veNw=",0)</f>
        <v>#REF!</v>
      </c>
      <c r="HN22" t="e">
        <f>IF(#REF!,"AAAAAF7veN0=",0)</f>
        <v>#REF!</v>
      </c>
      <c r="HO22" t="e">
        <f>IF(#REF!,"AAAAAF7veN4=",0)</f>
        <v>#REF!</v>
      </c>
      <c r="HP22" t="e">
        <f>IF(#REF!,"AAAAAF7veN8=",0)</f>
        <v>#REF!</v>
      </c>
      <c r="HQ22" t="e">
        <f>IF(#REF!,"AAAAAF7veOA=",0)</f>
        <v>#REF!</v>
      </c>
      <c r="HR22" t="e">
        <f>IF(#REF!,"AAAAAF7veOE=",0)</f>
        <v>#REF!</v>
      </c>
      <c r="HS22" t="e">
        <f>IF(#REF!,"AAAAAF7veOI=",0)</f>
        <v>#REF!</v>
      </c>
      <c r="HT22" t="e">
        <f>IF(#REF!,"AAAAAF7veOM=",0)</f>
        <v>#REF!</v>
      </c>
      <c r="HU22" t="e">
        <f>IF(#REF!,"AAAAAF7veOQ=",0)</f>
        <v>#REF!</v>
      </c>
      <c r="HV22" t="e">
        <f>IF(#REF!,"AAAAAF7veOU=",0)</f>
        <v>#REF!</v>
      </c>
      <c r="HW22" t="e">
        <f>IF(#REF!,"AAAAAF7veOY=",0)</f>
        <v>#REF!</v>
      </c>
      <c r="HX22" t="e">
        <f>IF(#REF!,"AAAAAF7veOc=",0)</f>
        <v>#REF!</v>
      </c>
      <c r="HY22" t="e">
        <f>IF(#REF!,"AAAAAF7veOg=",0)</f>
        <v>#REF!</v>
      </c>
      <c r="HZ22" t="e">
        <f>IF(#REF!,"AAAAAF7veOk=",0)</f>
        <v>#REF!</v>
      </c>
      <c r="IA22" t="e">
        <f>IF(#REF!,"AAAAAF7veOo=",0)</f>
        <v>#REF!</v>
      </c>
      <c r="IB22" t="e">
        <f>IF(#REF!,"AAAAAF7veOs=",0)</f>
        <v>#REF!</v>
      </c>
      <c r="IC22" t="e">
        <f>IF(#REF!,"AAAAAF7veOw=",0)</f>
        <v>#REF!</v>
      </c>
      <c r="ID22" t="e">
        <f>AND(#REF!,"AAAAAF7veO0=")</f>
        <v>#REF!</v>
      </c>
      <c r="IE22" t="e">
        <f>AND(#REF!,"AAAAAF7veO4=")</f>
        <v>#REF!</v>
      </c>
      <c r="IF22" t="e">
        <f>AND(#REF!,"AAAAAF7veO8=")</f>
        <v>#REF!</v>
      </c>
      <c r="IG22" t="e">
        <f>AND(#REF!,"AAAAAF7vePA=")</f>
        <v>#REF!</v>
      </c>
      <c r="IH22" t="e">
        <f>AND(#REF!,"AAAAAF7vePE=")</f>
        <v>#REF!</v>
      </c>
      <c r="II22" t="e">
        <f>AND(#REF!,"AAAAAF7vePI=")</f>
        <v>#REF!</v>
      </c>
      <c r="IJ22" t="e">
        <f>AND(#REF!,"AAAAAF7vePM=")</f>
        <v>#REF!</v>
      </c>
      <c r="IK22" t="e">
        <f>AND(#REF!,"AAAAAF7vePQ=")</f>
        <v>#REF!</v>
      </c>
      <c r="IL22" t="e">
        <f>AND(#REF!,"AAAAAF7vePU=")</f>
        <v>#REF!</v>
      </c>
      <c r="IM22" t="e">
        <f>AND(#REF!,"AAAAAF7vePY=")</f>
        <v>#REF!</v>
      </c>
      <c r="IN22" t="e">
        <f>AND(#REF!,"AAAAAF7vePc=")</f>
        <v>#REF!</v>
      </c>
      <c r="IO22" t="e">
        <f>AND(#REF!,"AAAAAF7vePg=")</f>
        <v>#REF!</v>
      </c>
      <c r="IP22" t="e">
        <f>AND(#REF!,"AAAAAF7vePk=")</f>
        <v>#REF!</v>
      </c>
      <c r="IQ22" t="e">
        <f>AND(#REF!,"AAAAAF7vePo=")</f>
        <v>#REF!</v>
      </c>
      <c r="IR22" t="e">
        <f>AND(#REF!,"AAAAAF7vePs=")</f>
        <v>#REF!</v>
      </c>
      <c r="IS22" t="e">
        <f>AND(#REF!,"AAAAAF7vePw=")</f>
        <v>#REF!</v>
      </c>
      <c r="IT22" t="e">
        <f>AND(#REF!,"AAAAAF7veP0=")</f>
        <v>#REF!</v>
      </c>
      <c r="IU22" t="e">
        <f>AND(#REF!,"AAAAAF7veP4=")</f>
        <v>#REF!</v>
      </c>
      <c r="IV22" t="e">
        <f>AND(#REF!,"AAAAAF7veP8=")</f>
        <v>#REF!</v>
      </c>
    </row>
    <row r="23" spans="1:256" x14ac:dyDescent="0.2">
      <c r="A23" t="e">
        <f>AND(#REF!,"AAAAAD8t/gA=")</f>
        <v>#REF!</v>
      </c>
      <c r="B23" t="e">
        <f>AND(#REF!,"AAAAAD8t/gE=")</f>
        <v>#REF!</v>
      </c>
      <c r="C23" t="e">
        <f>AND(#REF!,"AAAAAD8t/gI=")</f>
        <v>#REF!</v>
      </c>
      <c r="D23" t="e">
        <f>AND(#REF!,"AAAAAD8t/gM=")</f>
        <v>#REF!</v>
      </c>
      <c r="E23" t="e">
        <f>AND(#REF!,"AAAAAD8t/gQ=")</f>
        <v>#REF!</v>
      </c>
      <c r="F23" t="e">
        <f>AND(#REF!,"AAAAAD8t/gU=")</f>
        <v>#REF!</v>
      </c>
      <c r="G23" t="e">
        <f>AND(#REF!,"AAAAAD8t/gY=")</f>
        <v>#REF!</v>
      </c>
      <c r="H23" t="e">
        <f>IF(#REF!,"AAAAAD8t/gc=",0)</f>
        <v>#REF!</v>
      </c>
      <c r="I23" t="e">
        <f>AND(#REF!,"AAAAAD8t/gg=")</f>
        <v>#REF!</v>
      </c>
      <c r="J23" t="e">
        <f>AND(#REF!,"AAAAAD8t/gk=")</f>
        <v>#REF!</v>
      </c>
      <c r="K23" t="e">
        <f>AND(#REF!,"AAAAAD8t/go=")</f>
        <v>#REF!</v>
      </c>
      <c r="L23" t="e">
        <f>AND(#REF!,"AAAAAD8t/gs=")</f>
        <v>#REF!</v>
      </c>
      <c r="M23" t="e">
        <f>AND(#REF!,"AAAAAD8t/gw=")</f>
        <v>#REF!</v>
      </c>
      <c r="N23" t="e">
        <f>AND(#REF!,"AAAAAD8t/g0=")</f>
        <v>#REF!</v>
      </c>
      <c r="O23" t="e">
        <f>AND(#REF!,"AAAAAD8t/g4=")</f>
        <v>#REF!</v>
      </c>
      <c r="P23" t="e">
        <f>AND(#REF!,"AAAAAD8t/g8=")</f>
        <v>#REF!</v>
      </c>
      <c r="Q23" t="e">
        <f>AND(#REF!,"AAAAAD8t/hA=")</f>
        <v>#REF!</v>
      </c>
      <c r="R23" t="e">
        <f>AND(#REF!,"AAAAAD8t/hE=")</f>
        <v>#REF!</v>
      </c>
      <c r="S23" t="e">
        <f>AND(#REF!,"AAAAAD8t/hI=")</f>
        <v>#REF!</v>
      </c>
      <c r="T23" t="e">
        <f>AND(#REF!,"AAAAAD8t/hM=")</f>
        <v>#REF!</v>
      </c>
      <c r="U23" t="e">
        <f>AND(#REF!,"AAAAAD8t/hQ=")</f>
        <v>#REF!</v>
      </c>
      <c r="V23" t="e">
        <f>AND(#REF!,"AAAAAD8t/hU=")</f>
        <v>#REF!</v>
      </c>
      <c r="W23" t="e">
        <f>AND(#REF!,"AAAAAD8t/hY=")</f>
        <v>#REF!</v>
      </c>
      <c r="X23" t="e">
        <f>AND(#REF!,"AAAAAD8t/hc=")</f>
        <v>#REF!</v>
      </c>
      <c r="Y23" t="e">
        <f>AND(#REF!,"AAAAAD8t/hg=")</f>
        <v>#REF!</v>
      </c>
      <c r="Z23" t="e">
        <f>AND(#REF!,"AAAAAD8t/hk=")</f>
        <v>#REF!</v>
      </c>
      <c r="AA23" t="e">
        <f>AND(#REF!,"AAAAAD8t/ho=")</f>
        <v>#REF!</v>
      </c>
      <c r="AB23" t="e">
        <f>AND(#REF!,"AAAAAD8t/hs=")</f>
        <v>#REF!</v>
      </c>
      <c r="AC23" t="e">
        <f>AND(#REF!,"AAAAAD8t/hw=")</f>
        <v>#REF!</v>
      </c>
      <c r="AD23" t="e">
        <f>AND(#REF!,"AAAAAD8t/h0=")</f>
        <v>#REF!</v>
      </c>
      <c r="AE23" t="e">
        <f>AND(#REF!,"AAAAAD8t/h4=")</f>
        <v>#REF!</v>
      </c>
      <c r="AF23" t="e">
        <f>AND(#REF!,"AAAAAD8t/h8=")</f>
        <v>#REF!</v>
      </c>
      <c r="AG23" t="e">
        <f>AND(#REF!,"AAAAAD8t/iA=")</f>
        <v>#REF!</v>
      </c>
      <c r="AH23" t="e">
        <f>AND(#REF!,"AAAAAD8t/iE=")</f>
        <v>#REF!</v>
      </c>
      <c r="AI23" t="e">
        <f>IF(#REF!,"AAAAAD8t/iI=",0)</f>
        <v>#REF!</v>
      </c>
      <c r="AJ23" t="e">
        <f>AND(#REF!,"AAAAAD8t/iM=")</f>
        <v>#REF!</v>
      </c>
      <c r="AK23" t="e">
        <f>AND(#REF!,"AAAAAD8t/iQ=")</f>
        <v>#REF!</v>
      </c>
      <c r="AL23" t="e">
        <f>AND(#REF!,"AAAAAD8t/iU=")</f>
        <v>#REF!</v>
      </c>
      <c r="AM23" t="e">
        <f>AND(#REF!,"AAAAAD8t/iY=")</f>
        <v>#REF!</v>
      </c>
      <c r="AN23" t="e">
        <f>AND(#REF!,"AAAAAD8t/ic=")</f>
        <v>#REF!</v>
      </c>
      <c r="AO23" t="e">
        <f>AND(#REF!,"AAAAAD8t/ig=")</f>
        <v>#REF!</v>
      </c>
      <c r="AP23" t="e">
        <f>AND(#REF!,"AAAAAD8t/ik=")</f>
        <v>#REF!</v>
      </c>
      <c r="AQ23" t="e">
        <f>AND(#REF!,"AAAAAD8t/io=")</f>
        <v>#REF!</v>
      </c>
      <c r="AR23" t="e">
        <f>AND(#REF!,"AAAAAD8t/is=")</f>
        <v>#REF!</v>
      </c>
      <c r="AS23" t="e">
        <f>AND(#REF!,"AAAAAD8t/iw=")</f>
        <v>#REF!</v>
      </c>
      <c r="AT23" t="e">
        <f>AND(#REF!,"AAAAAD8t/i0=")</f>
        <v>#REF!</v>
      </c>
      <c r="AU23" t="e">
        <f>AND(#REF!,"AAAAAD8t/i4=")</f>
        <v>#REF!</v>
      </c>
      <c r="AV23" t="e">
        <f>AND(#REF!,"AAAAAD8t/i8=")</f>
        <v>#REF!</v>
      </c>
      <c r="AW23" t="e">
        <f>AND(#REF!,"AAAAAD8t/jA=")</f>
        <v>#REF!</v>
      </c>
      <c r="AX23" t="e">
        <f>AND(#REF!,"AAAAAD8t/jE=")</f>
        <v>#REF!</v>
      </c>
      <c r="AY23" t="e">
        <f>AND(#REF!,"AAAAAD8t/jI=")</f>
        <v>#REF!</v>
      </c>
      <c r="AZ23" t="e">
        <f>AND(#REF!,"AAAAAD8t/jM=")</f>
        <v>#REF!</v>
      </c>
      <c r="BA23" t="e">
        <f>AND(#REF!,"AAAAAD8t/jQ=")</f>
        <v>#REF!</v>
      </c>
      <c r="BB23" t="e">
        <f>AND(#REF!,"AAAAAD8t/jU=")</f>
        <v>#REF!</v>
      </c>
      <c r="BC23" t="e">
        <f>AND(#REF!,"AAAAAD8t/jY=")</f>
        <v>#REF!</v>
      </c>
      <c r="BD23" t="e">
        <f>AND(#REF!,"AAAAAD8t/jc=")</f>
        <v>#REF!</v>
      </c>
      <c r="BE23" t="e">
        <f>AND(#REF!,"AAAAAD8t/jg=")</f>
        <v>#REF!</v>
      </c>
      <c r="BF23" t="e">
        <f>AND(#REF!,"AAAAAD8t/jk=")</f>
        <v>#REF!</v>
      </c>
      <c r="BG23" t="e">
        <f>AND(#REF!,"AAAAAD8t/jo=")</f>
        <v>#REF!</v>
      </c>
      <c r="BH23" t="e">
        <f>AND(#REF!,"AAAAAD8t/js=")</f>
        <v>#REF!</v>
      </c>
      <c r="BI23" t="e">
        <f>AND(#REF!,"AAAAAD8t/jw=")</f>
        <v>#REF!</v>
      </c>
      <c r="BJ23" t="e">
        <f>IF(#REF!,"AAAAAD8t/j0=",0)</f>
        <v>#REF!</v>
      </c>
      <c r="BK23" t="e">
        <f>AND(#REF!,"AAAAAD8t/j4=")</f>
        <v>#REF!</v>
      </c>
      <c r="BL23" t="e">
        <f>AND(#REF!,"AAAAAD8t/j8=")</f>
        <v>#REF!</v>
      </c>
      <c r="BM23" t="e">
        <f>AND(#REF!,"AAAAAD8t/kA=")</f>
        <v>#REF!</v>
      </c>
      <c r="BN23" t="e">
        <f>AND(#REF!,"AAAAAD8t/kE=")</f>
        <v>#REF!</v>
      </c>
      <c r="BO23" t="e">
        <f>AND(#REF!,"AAAAAD8t/kI=")</f>
        <v>#REF!</v>
      </c>
      <c r="BP23" t="e">
        <f>AND(#REF!,"AAAAAD8t/kM=")</f>
        <v>#REF!</v>
      </c>
      <c r="BQ23" t="e">
        <f>AND(#REF!,"AAAAAD8t/kQ=")</f>
        <v>#REF!</v>
      </c>
      <c r="BR23" t="e">
        <f>AND(#REF!,"AAAAAD8t/kU=")</f>
        <v>#REF!</v>
      </c>
      <c r="BS23" t="e">
        <f>AND(#REF!,"AAAAAD8t/kY=")</f>
        <v>#REF!</v>
      </c>
      <c r="BT23" t="e">
        <f>AND(#REF!,"AAAAAD8t/kc=")</f>
        <v>#REF!</v>
      </c>
      <c r="BU23" t="e">
        <f>AND(#REF!,"AAAAAD8t/kg=")</f>
        <v>#REF!</v>
      </c>
      <c r="BV23" t="e">
        <f>AND(#REF!,"AAAAAD8t/kk=")</f>
        <v>#REF!</v>
      </c>
      <c r="BW23" t="e">
        <f>AND(#REF!,"AAAAAD8t/ko=")</f>
        <v>#REF!</v>
      </c>
      <c r="BX23" t="e">
        <f>AND(#REF!,"AAAAAD8t/ks=")</f>
        <v>#REF!</v>
      </c>
      <c r="BY23" t="e">
        <f>AND(#REF!,"AAAAAD8t/kw=")</f>
        <v>#REF!</v>
      </c>
      <c r="BZ23" t="e">
        <f>AND(#REF!,"AAAAAD8t/k0=")</f>
        <v>#REF!</v>
      </c>
      <c r="CA23" t="e">
        <f>AND(#REF!,"AAAAAD8t/k4=")</f>
        <v>#REF!</v>
      </c>
      <c r="CB23" t="e">
        <f>AND(#REF!,"AAAAAD8t/k8=")</f>
        <v>#REF!</v>
      </c>
      <c r="CC23" t="e">
        <f>AND(#REF!,"AAAAAD8t/lA=")</f>
        <v>#REF!</v>
      </c>
      <c r="CD23" t="e">
        <f>AND(#REF!,"AAAAAD8t/lE=")</f>
        <v>#REF!</v>
      </c>
      <c r="CE23" t="e">
        <f>AND(#REF!,"AAAAAD8t/lI=")</f>
        <v>#REF!</v>
      </c>
      <c r="CF23" t="e">
        <f>AND(#REF!,"AAAAAD8t/lM=")</f>
        <v>#REF!</v>
      </c>
      <c r="CG23" t="e">
        <f>AND(#REF!,"AAAAAD8t/lQ=")</f>
        <v>#REF!</v>
      </c>
      <c r="CH23" t="e">
        <f>AND(#REF!,"AAAAAD8t/lU=")</f>
        <v>#REF!</v>
      </c>
      <c r="CI23" t="e">
        <f>AND(#REF!,"AAAAAD8t/lY=")</f>
        <v>#REF!</v>
      </c>
      <c r="CJ23" t="e">
        <f>AND(#REF!,"AAAAAD8t/lc=")</f>
        <v>#REF!</v>
      </c>
      <c r="CK23" t="e">
        <f>IF(#REF!,"AAAAAD8t/lg=",0)</f>
        <v>#REF!</v>
      </c>
      <c r="CL23" t="e">
        <f>AND(#REF!,"AAAAAD8t/lk=")</f>
        <v>#REF!</v>
      </c>
      <c r="CM23" t="e">
        <f>AND(#REF!,"AAAAAD8t/lo=")</f>
        <v>#REF!</v>
      </c>
      <c r="CN23" t="e">
        <f>AND(#REF!,"AAAAAD8t/ls=")</f>
        <v>#REF!</v>
      </c>
      <c r="CO23" t="e">
        <f>AND(#REF!,"AAAAAD8t/lw=")</f>
        <v>#REF!</v>
      </c>
      <c r="CP23" t="e">
        <f>AND(#REF!,"AAAAAD8t/l0=")</f>
        <v>#REF!</v>
      </c>
      <c r="CQ23" t="e">
        <f>AND(#REF!,"AAAAAD8t/l4=")</f>
        <v>#REF!</v>
      </c>
      <c r="CR23" t="e">
        <f>AND(#REF!,"AAAAAD8t/l8=")</f>
        <v>#REF!</v>
      </c>
      <c r="CS23" t="e">
        <f>AND(#REF!,"AAAAAD8t/mA=")</f>
        <v>#REF!</v>
      </c>
      <c r="CT23" t="e">
        <f>AND(#REF!,"AAAAAD8t/mE=")</f>
        <v>#REF!</v>
      </c>
      <c r="CU23" t="e">
        <f>AND(#REF!,"AAAAAD8t/mI=")</f>
        <v>#REF!</v>
      </c>
      <c r="CV23" t="e">
        <f>AND(#REF!,"AAAAAD8t/mM=")</f>
        <v>#REF!</v>
      </c>
      <c r="CW23" t="e">
        <f>AND(#REF!,"AAAAAD8t/mQ=")</f>
        <v>#REF!</v>
      </c>
      <c r="CX23" t="e">
        <f>AND(#REF!,"AAAAAD8t/mU=")</f>
        <v>#REF!</v>
      </c>
      <c r="CY23" t="e">
        <f>AND(#REF!,"AAAAAD8t/mY=")</f>
        <v>#REF!</v>
      </c>
      <c r="CZ23" t="e">
        <f>AND(#REF!,"AAAAAD8t/mc=")</f>
        <v>#REF!</v>
      </c>
      <c r="DA23" t="e">
        <f>AND(#REF!,"AAAAAD8t/mg=")</f>
        <v>#REF!</v>
      </c>
      <c r="DB23" t="e">
        <f>AND(#REF!,"AAAAAD8t/mk=")</f>
        <v>#REF!</v>
      </c>
      <c r="DC23" t="e">
        <f>AND(#REF!,"AAAAAD8t/mo=")</f>
        <v>#REF!</v>
      </c>
      <c r="DD23" t="e">
        <f>AND(#REF!,"AAAAAD8t/ms=")</f>
        <v>#REF!</v>
      </c>
      <c r="DE23" t="e">
        <f>AND(#REF!,"AAAAAD8t/mw=")</f>
        <v>#REF!</v>
      </c>
      <c r="DF23" t="e">
        <f>AND(#REF!,"AAAAAD8t/m0=")</f>
        <v>#REF!</v>
      </c>
      <c r="DG23" t="e">
        <f>AND(#REF!,"AAAAAD8t/m4=")</f>
        <v>#REF!</v>
      </c>
      <c r="DH23" t="e">
        <f>AND(#REF!,"AAAAAD8t/m8=")</f>
        <v>#REF!</v>
      </c>
      <c r="DI23" t="e">
        <f>AND(#REF!,"AAAAAD8t/nA=")</f>
        <v>#REF!</v>
      </c>
      <c r="DJ23" t="e">
        <f>AND(#REF!,"AAAAAD8t/nE=")</f>
        <v>#REF!</v>
      </c>
      <c r="DK23" t="e">
        <f>AND(#REF!,"AAAAAD8t/nI=")</f>
        <v>#REF!</v>
      </c>
      <c r="DL23" t="e">
        <f>IF(#REF!,"AAAAAD8t/nM=",0)</f>
        <v>#REF!</v>
      </c>
      <c r="DM23" t="e">
        <f>AND(#REF!,"AAAAAD8t/nQ=")</f>
        <v>#REF!</v>
      </c>
      <c r="DN23" t="e">
        <f>AND(#REF!,"AAAAAD8t/nU=")</f>
        <v>#REF!</v>
      </c>
      <c r="DO23" t="e">
        <f>AND(#REF!,"AAAAAD8t/nY=")</f>
        <v>#REF!</v>
      </c>
      <c r="DP23" t="e">
        <f>AND(#REF!,"AAAAAD8t/nc=")</f>
        <v>#REF!</v>
      </c>
      <c r="DQ23" t="e">
        <f>AND(#REF!,"AAAAAD8t/ng=")</f>
        <v>#REF!</v>
      </c>
      <c r="DR23" t="e">
        <f>AND(#REF!,"AAAAAD8t/nk=")</f>
        <v>#REF!</v>
      </c>
      <c r="DS23" t="e">
        <f>AND(#REF!,"AAAAAD8t/no=")</f>
        <v>#REF!</v>
      </c>
      <c r="DT23" t="e">
        <f>AND(#REF!,"AAAAAD8t/ns=")</f>
        <v>#REF!</v>
      </c>
      <c r="DU23" t="e">
        <f>AND(#REF!,"AAAAAD8t/nw=")</f>
        <v>#REF!</v>
      </c>
      <c r="DV23" t="e">
        <f>AND(#REF!,"AAAAAD8t/n0=")</f>
        <v>#REF!</v>
      </c>
      <c r="DW23" t="e">
        <f>AND(#REF!,"AAAAAD8t/n4=")</f>
        <v>#REF!</v>
      </c>
      <c r="DX23" t="e">
        <f>AND(#REF!,"AAAAAD8t/n8=")</f>
        <v>#REF!</v>
      </c>
      <c r="DY23" t="e">
        <f>AND(#REF!,"AAAAAD8t/oA=")</f>
        <v>#REF!</v>
      </c>
      <c r="DZ23" t="e">
        <f>AND(#REF!,"AAAAAD8t/oE=")</f>
        <v>#REF!</v>
      </c>
      <c r="EA23" t="e">
        <f>AND(#REF!,"AAAAAD8t/oI=")</f>
        <v>#REF!</v>
      </c>
      <c r="EB23" t="e">
        <f>AND(#REF!,"AAAAAD8t/oM=")</f>
        <v>#REF!</v>
      </c>
      <c r="EC23" t="e">
        <f>AND(#REF!,"AAAAAD8t/oQ=")</f>
        <v>#REF!</v>
      </c>
      <c r="ED23" t="e">
        <f>AND(#REF!,"AAAAAD8t/oU=")</f>
        <v>#REF!</v>
      </c>
      <c r="EE23" t="e">
        <f>AND(#REF!,"AAAAAD8t/oY=")</f>
        <v>#REF!</v>
      </c>
      <c r="EF23" t="e">
        <f>AND(#REF!,"AAAAAD8t/oc=")</f>
        <v>#REF!</v>
      </c>
      <c r="EG23" t="e">
        <f>AND(#REF!,"AAAAAD8t/og=")</f>
        <v>#REF!</v>
      </c>
      <c r="EH23" t="e">
        <f>AND(#REF!,"AAAAAD8t/ok=")</f>
        <v>#REF!</v>
      </c>
      <c r="EI23" t="e">
        <f>AND(#REF!,"AAAAAD8t/oo=")</f>
        <v>#REF!</v>
      </c>
      <c r="EJ23" t="e">
        <f>AND(#REF!,"AAAAAD8t/os=")</f>
        <v>#REF!</v>
      </c>
      <c r="EK23" t="e">
        <f>AND(#REF!,"AAAAAD8t/ow=")</f>
        <v>#REF!</v>
      </c>
      <c r="EL23" t="e">
        <f>AND(#REF!,"AAAAAD8t/o0=")</f>
        <v>#REF!</v>
      </c>
      <c r="EM23" t="e">
        <f>IF(#REF!,"AAAAAD8t/o4=",0)</f>
        <v>#REF!</v>
      </c>
      <c r="EN23" t="e">
        <f>AND(#REF!,"AAAAAD8t/o8=")</f>
        <v>#REF!</v>
      </c>
      <c r="EO23" t="e">
        <f>AND(#REF!,"AAAAAD8t/pA=")</f>
        <v>#REF!</v>
      </c>
      <c r="EP23" t="e">
        <f>AND(#REF!,"AAAAAD8t/pE=")</f>
        <v>#REF!</v>
      </c>
      <c r="EQ23" t="e">
        <f>AND(#REF!,"AAAAAD8t/pI=")</f>
        <v>#REF!</v>
      </c>
      <c r="ER23" t="e">
        <f>AND(#REF!,"AAAAAD8t/pM=")</f>
        <v>#REF!</v>
      </c>
      <c r="ES23" t="e">
        <f>AND(#REF!,"AAAAAD8t/pQ=")</f>
        <v>#REF!</v>
      </c>
      <c r="ET23" t="e">
        <f>AND(#REF!,"AAAAAD8t/pU=")</f>
        <v>#REF!</v>
      </c>
      <c r="EU23" t="e">
        <f>AND(#REF!,"AAAAAD8t/pY=")</f>
        <v>#REF!</v>
      </c>
      <c r="EV23" t="e">
        <f>AND(#REF!,"AAAAAD8t/pc=")</f>
        <v>#REF!</v>
      </c>
      <c r="EW23" t="e">
        <f>AND(#REF!,"AAAAAD8t/pg=")</f>
        <v>#REF!</v>
      </c>
      <c r="EX23" t="e">
        <f>AND(#REF!,"AAAAAD8t/pk=")</f>
        <v>#REF!</v>
      </c>
      <c r="EY23" t="e">
        <f>AND(#REF!,"AAAAAD8t/po=")</f>
        <v>#REF!</v>
      </c>
      <c r="EZ23" t="e">
        <f>AND(#REF!,"AAAAAD8t/ps=")</f>
        <v>#REF!</v>
      </c>
      <c r="FA23" t="e">
        <f>AND(#REF!,"AAAAAD8t/pw=")</f>
        <v>#REF!</v>
      </c>
      <c r="FB23" t="e">
        <f>AND(#REF!,"AAAAAD8t/p0=")</f>
        <v>#REF!</v>
      </c>
      <c r="FC23" t="e">
        <f>AND(#REF!,"AAAAAD8t/p4=")</f>
        <v>#REF!</v>
      </c>
      <c r="FD23" t="e">
        <f>AND(#REF!,"AAAAAD8t/p8=")</f>
        <v>#REF!</v>
      </c>
      <c r="FE23" t="e">
        <f>AND(#REF!,"AAAAAD8t/qA=")</f>
        <v>#REF!</v>
      </c>
      <c r="FF23" t="e">
        <f>AND(#REF!,"AAAAAD8t/qE=")</f>
        <v>#REF!</v>
      </c>
      <c r="FG23" t="e">
        <f>AND(#REF!,"AAAAAD8t/qI=")</f>
        <v>#REF!</v>
      </c>
      <c r="FH23" t="e">
        <f>AND(#REF!,"AAAAAD8t/qM=")</f>
        <v>#REF!</v>
      </c>
      <c r="FI23" t="e">
        <f>AND(#REF!,"AAAAAD8t/qQ=")</f>
        <v>#REF!</v>
      </c>
      <c r="FJ23" t="e">
        <f>AND(#REF!,"AAAAAD8t/qU=")</f>
        <v>#REF!</v>
      </c>
      <c r="FK23" t="e">
        <f>AND(#REF!,"AAAAAD8t/qY=")</f>
        <v>#REF!</v>
      </c>
      <c r="FL23" t="e">
        <f>AND(#REF!,"AAAAAD8t/qc=")</f>
        <v>#REF!</v>
      </c>
      <c r="FM23" t="e">
        <f>AND(#REF!,"AAAAAD8t/qg=")</f>
        <v>#REF!</v>
      </c>
      <c r="FN23" t="e">
        <f>IF(#REF!,"AAAAAD8t/qk=",0)</f>
        <v>#REF!</v>
      </c>
      <c r="FO23" t="e">
        <f>AND(#REF!,"AAAAAD8t/qo=")</f>
        <v>#REF!</v>
      </c>
      <c r="FP23" t="e">
        <f>AND(#REF!,"AAAAAD8t/qs=")</f>
        <v>#REF!</v>
      </c>
      <c r="FQ23" t="e">
        <f>AND(#REF!,"AAAAAD8t/qw=")</f>
        <v>#REF!</v>
      </c>
      <c r="FR23" t="e">
        <f>AND(#REF!,"AAAAAD8t/q0=")</f>
        <v>#REF!</v>
      </c>
      <c r="FS23" t="e">
        <f>AND(#REF!,"AAAAAD8t/q4=")</f>
        <v>#REF!</v>
      </c>
      <c r="FT23" t="e">
        <f>AND(#REF!,"AAAAAD8t/q8=")</f>
        <v>#REF!</v>
      </c>
      <c r="FU23" t="e">
        <f>AND(#REF!,"AAAAAD8t/rA=")</f>
        <v>#REF!</v>
      </c>
      <c r="FV23" t="e">
        <f>AND(#REF!,"AAAAAD8t/rE=")</f>
        <v>#REF!</v>
      </c>
      <c r="FW23" t="e">
        <f>AND(#REF!,"AAAAAD8t/rI=")</f>
        <v>#REF!</v>
      </c>
      <c r="FX23" t="e">
        <f>AND(#REF!,"AAAAAD8t/rM=")</f>
        <v>#REF!</v>
      </c>
      <c r="FY23" t="e">
        <f>AND(#REF!,"AAAAAD8t/rQ=")</f>
        <v>#REF!</v>
      </c>
      <c r="FZ23" t="e">
        <f>AND(#REF!,"AAAAAD8t/rU=")</f>
        <v>#REF!</v>
      </c>
      <c r="GA23" t="e">
        <f>AND(#REF!,"AAAAAD8t/rY=")</f>
        <v>#REF!</v>
      </c>
      <c r="GB23" t="e">
        <f>AND(#REF!,"AAAAAD8t/rc=")</f>
        <v>#REF!</v>
      </c>
      <c r="GC23" t="e">
        <f>AND(#REF!,"AAAAAD8t/rg=")</f>
        <v>#REF!</v>
      </c>
      <c r="GD23" t="e">
        <f>AND(#REF!,"AAAAAD8t/rk=")</f>
        <v>#REF!</v>
      </c>
      <c r="GE23" t="e">
        <f>AND(#REF!,"AAAAAD8t/ro=")</f>
        <v>#REF!</v>
      </c>
      <c r="GF23" t="e">
        <f>AND(#REF!,"AAAAAD8t/rs=")</f>
        <v>#REF!</v>
      </c>
      <c r="GG23" t="e">
        <f>AND(#REF!,"AAAAAD8t/rw=")</f>
        <v>#REF!</v>
      </c>
      <c r="GH23" t="e">
        <f>AND(#REF!,"AAAAAD8t/r0=")</f>
        <v>#REF!</v>
      </c>
      <c r="GI23" t="e">
        <f>AND(#REF!,"AAAAAD8t/r4=")</f>
        <v>#REF!</v>
      </c>
      <c r="GJ23" t="e">
        <f>AND(#REF!,"AAAAAD8t/r8=")</f>
        <v>#REF!</v>
      </c>
      <c r="GK23" t="e">
        <f>AND(#REF!,"AAAAAD8t/sA=")</f>
        <v>#REF!</v>
      </c>
      <c r="GL23" t="e">
        <f>AND(#REF!,"AAAAAD8t/sE=")</f>
        <v>#REF!</v>
      </c>
      <c r="GM23" t="e">
        <f>AND(#REF!,"AAAAAD8t/sI=")</f>
        <v>#REF!</v>
      </c>
      <c r="GN23" t="e">
        <f>AND(#REF!,"AAAAAD8t/sM=")</f>
        <v>#REF!</v>
      </c>
      <c r="GO23" t="e">
        <f>IF(#REF!,"AAAAAD8t/sQ=",0)</f>
        <v>#REF!</v>
      </c>
      <c r="GP23" t="e">
        <f>AND(#REF!,"AAAAAD8t/sU=")</f>
        <v>#REF!</v>
      </c>
      <c r="GQ23" t="e">
        <f>AND(#REF!,"AAAAAD8t/sY=")</f>
        <v>#REF!</v>
      </c>
      <c r="GR23" t="e">
        <f>AND(#REF!,"AAAAAD8t/sc=")</f>
        <v>#REF!</v>
      </c>
      <c r="GS23" t="e">
        <f>AND(#REF!,"AAAAAD8t/sg=")</f>
        <v>#REF!</v>
      </c>
      <c r="GT23" t="e">
        <f>AND(#REF!,"AAAAAD8t/sk=")</f>
        <v>#REF!</v>
      </c>
      <c r="GU23" t="e">
        <f>AND(#REF!,"AAAAAD8t/so=")</f>
        <v>#REF!</v>
      </c>
      <c r="GV23" t="e">
        <f>AND(#REF!,"AAAAAD8t/ss=")</f>
        <v>#REF!</v>
      </c>
      <c r="GW23" t="e">
        <f>AND(#REF!,"AAAAAD8t/sw=")</f>
        <v>#REF!</v>
      </c>
      <c r="GX23" t="e">
        <f>AND(#REF!,"AAAAAD8t/s0=")</f>
        <v>#REF!</v>
      </c>
      <c r="GY23" t="e">
        <f>AND(#REF!,"AAAAAD8t/s4=")</f>
        <v>#REF!</v>
      </c>
      <c r="GZ23" t="e">
        <f>AND(#REF!,"AAAAAD8t/s8=")</f>
        <v>#REF!</v>
      </c>
      <c r="HA23" t="e">
        <f>AND(#REF!,"AAAAAD8t/tA=")</f>
        <v>#REF!</v>
      </c>
      <c r="HB23" t="e">
        <f>AND(#REF!,"AAAAAD8t/tE=")</f>
        <v>#REF!</v>
      </c>
      <c r="HC23" t="e">
        <f>AND(#REF!,"AAAAAD8t/tI=")</f>
        <v>#REF!</v>
      </c>
      <c r="HD23" t="e">
        <f>AND(#REF!,"AAAAAD8t/tM=")</f>
        <v>#REF!</v>
      </c>
      <c r="HE23" t="e">
        <f>AND(#REF!,"AAAAAD8t/tQ=")</f>
        <v>#REF!</v>
      </c>
      <c r="HF23" t="e">
        <f>AND(#REF!,"AAAAAD8t/tU=")</f>
        <v>#REF!</v>
      </c>
      <c r="HG23" t="e">
        <f>AND(#REF!,"AAAAAD8t/tY=")</f>
        <v>#REF!</v>
      </c>
      <c r="HH23" t="e">
        <f>AND(#REF!,"AAAAAD8t/tc=")</f>
        <v>#REF!</v>
      </c>
      <c r="HI23" t="e">
        <f>AND(#REF!,"AAAAAD8t/tg=")</f>
        <v>#REF!</v>
      </c>
      <c r="HJ23" t="e">
        <f>AND(#REF!,"AAAAAD8t/tk=")</f>
        <v>#REF!</v>
      </c>
      <c r="HK23" t="e">
        <f>AND(#REF!,"AAAAAD8t/to=")</f>
        <v>#REF!</v>
      </c>
      <c r="HL23" t="e">
        <f>AND(#REF!,"AAAAAD8t/ts=")</f>
        <v>#REF!</v>
      </c>
      <c r="HM23" t="e">
        <f>AND(#REF!,"AAAAAD8t/tw=")</f>
        <v>#REF!</v>
      </c>
      <c r="HN23" t="e">
        <f>AND(#REF!,"AAAAAD8t/t0=")</f>
        <v>#REF!</v>
      </c>
      <c r="HO23" t="e">
        <f>AND(#REF!,"AAAAAD8t/t4=")</f>
        <v>#REF!</v>
      </c>
      <c r="HP23" t="e">
        <f>IF(#REF!,"AAAAAD8t/t8=",0)</f>
        <v>#REF!</v>
      </c>
      <c r="HQ23" t="e">
        <f>AND(#REF!,"AAAAAD8t/uA=")</f>
        <v>#REF!</v>
      </c>
      <c r="HR23" t="e">
        <f>AND(#REF!,"AAAAAD8t/uE=")</f>
        <v>#REF!</v>
      </c>
      <c r="HS23" t="e">
        <f>AND(#REF!,"AAAAAD8t/uI=")</f>
        <v>#REF!</v>
      </c>
      <c r="HT23" t="e">
        <f>AND(#REF!,"AAAAAD8t/uM=")</f>
        <v>#REF!</v>
      </c>
      <c r="HU23" t="e">
        <f>AND(#REF!,"AAAAAD8t/uQ=")</f>
        <v>#REF!</v>
      </c>
      <c r="HV23" t="e">
        <f>AND(#REF!,"AAAAAD8t/uU=")</f>
        <v>#REF!</v>
      </c>
      <c r="HW23" t="e">
        <f>AND(#REF!,"AAAAAD8t/uY=")</f>
        <v>#REF!</v>
      </c>
      <c r="HX23" t="e">
        <f>AND(#REF!,"AAAAAD8t/uc=")</f>
        <v>#REF!</v>
      </c>
      <c r="HY23" t="e">
        <f>AND(#REF!,"AAAAAD8t/ug=")</f>
        <v>#REF!</v>
      </c>
      <c r="HZ23" t="e">
        <f>AND(#REF!,"AAAAAD8t/uk=")</f>
        <v>#REF!</v>
      </c>
      <c r="IA23" t="e">
        <f>AND(#REF!,"AAAAAD8t/uo=")</f>
        <v>#REF!</v>
      </c>
      <c r="IB23" t="e">
        <f>AND(#REF!,"AAAAAD8t/us=")</f>
        <v>#REF!</v>
      </c>
      <c r="IC23" t="e">
        <f>AND(#REF!,"AAAAAD8t/uw=")</f>
        <v>#REF!</v>
      </c>
      <c r="ID23" t="e">
        <f>AND(#REF!,"AAAAAD8t/u0=")</f>
        <v>#REF!</v>
      </c>
      <c r="IE23" t="e">
        <f>AND(#REF!,"AAAAAD8t/u4=")</f>
        <v>#REF!</v>
      </c>
      <c r="IF23" t="e">
        <f>AND(#REF!,"AAAAAD8t/u8=")</f>
        <v>#REF!</v>
      </c>
      <c r="IG23" t="e">
        <f>AND(#REF!,"AAAAAD8t/vA=")</f>
        <v>#REF!</v>
      </c>
      <c r="IH23" t="e">
        <f>AND(#REF!,"AAAAAD8t/vE=")</f>
        <v>#REF!</v>
      </c>
      <c r="II23" t="e">
        <f>AND(#REF!,"AAAAAD8t/vI=")</f>
        <v>#REF!</v>
      </c>
      <c r="IJ23" t="e">
        <f>AND(#REF!,"AAAAAD8t/vM=")</f>
        <v>#REF!</v>
      </c>
      <c r="IK23" t="e">
        <f>AND(#REF!,"AAAAAD8t/vQ=")</f>
        <v>#REF!</v>
      </c>
      <c r="IL23" t="e">
        <f>AND(#REF!,"AAAAAD8t/vU=")</f>
        <v>#REF!</v>
      </c>
      <c r="IM23" t="e">
        <f>AND(#REF!,"AAAAAD8t/vY=")</f>
        <v>#REF!</v>
      </c>
      <c r="IN23" t="e">
        <f>AND(#REF!,"AAAAAD8t/vc=")</f>
        <v>#REF!</v>
      </c>
      <c r="IO23" t="e">
        <f>AND(#REF!,"AAAAAD8t/vg=")</f>
        <v>#REF!</v>
      </c>
      <c r="IP23" t="e">
        <f>AND(#REF!,"AAAAAD8t/vk=")</f>
        <v>#REF!</v>
      </c>
      <c r="IQ23" t="e">
        <f>IF(#REF!,"AAAAAD8t/vo=",0)</f>
        <v>#REF!</v>
      </c>
      <c r="IR23" t="e">
        <f>AND(#REF!,"AAAAAD8t/vs=")</f>
        <v>#REF!</v>
      </c>
      <c r="IS23" t="e">
        <f>AND(#REF!,"AAAAAD8t/vw=")</f>
        <v>#REF!</v>
      </c>
      <c r="IT23" t="e">
        <f>AND(#REF!,"AAAAAD8t/v0=")</f>
        <v>#REF!</v>
      </c>
      <c r="IU23" t="e">
        <f>AND(#REF!,"AAAAAD8t/v4=")</f>
        <v>#REF!</v>
      </c>
      <c r="IV23" t="e">
        <f>AND(#REF!,"AAAAAD8t/v8=")</f>
        <v>#REF!</v>
      </c>
    </row>
    <row r="24" spans="1:256" x14ac:dyDescent="0.2">
      <c r="A24" t="e">
        <f>AND(#REF!,"AAAAAErlKQA=")</f>
        <v>#REF!</v>
      </c>
      <c r="B24" t="e">
        <f>AND(#REF!,"AAAAAErlKQE=")</f>
        <v>#REF!</v>
      </c>
      <c r="C24" t="e">
        <f>AND(#REF!,"AAAAAErlKQI=")</f>
        <v>#REF!</v>
      </c>
      <c r="D24" t="e">
        <f>AND(#REF!,"AAAAAErlKQM=")</f>
        <v>#REF!</v>
      </c>
      <c r="E24" t="e">
        <f>AND(#REF!,"AAAAAErlKQQ=")</f>
        <v>#REF!</v>
      </c>
      <c r="F24" t="e">
        <f>AND(#REF!,"AAAAAErlKQU=")</f>
        <v>#REF!</v>
      </c>
      <c r="G24" t="e">
        <f>AND(#REF!,"AAAAAErlKQY=")</f>
        <v>#REF!</v>
      </c>
      <c r="H24" t="e">
        <f>AND(#REF!,"AAAAAErlKQc=")</f>
        <v>#REF!</v>
      </c>
      <c r="I24" t="e">
        <f>AND(#REF!,"AAAAAErlKQg=")</f>
        <v>#REF!</v>
      </c>
      <c r="J24" t="e">
        <f>AND(#REF!,"AAAAAErlKQk=")</f>
        <v>#REF!</v>
      </c>
      <c r="K24" t="e">
        <f>AND(#REF!,"AAAAAErlKQo=")</f>
        <v>#REF!</v>
      </c>
      <c r="L24" t="e">
        <f>AND(#REF!,"AAAAAErlKQs=")</f>
        <v>#REF!</v>
      </c>
      <c r="M24" t="e">
        <f>AND(#REF!,"AAAAAErlKQw=")</f>
        <v>#REF!</v>
      </c>
      <c r="N24" t="e">
        <f>AND(#REF!,"AAAAAErlKQ0=")</f>
        <v>#REF!</v>
      </c>
      <c r="O24" t="e">
        <f>AND(#REF!,"AAAAAErlKQ4=")</f>
        <v>#REF!</v>
      </c>
      <c r="P24" t="e">
        <f>AND(#REF!,"AAAAAErlKQ8=")</f>
        <v>#REF!</v>
      </c>
      <c r="Q24" t="e">
        <f>AND(#REF!,"AAAAAErlKRA=")</f>
        <v>#REF!</v>
      </c>
      <c r="R24" t="e">
        <f>AND(#REF!,"AAAAAErlKRE=")</f>
        <v>#REF!</v>
      </c>
      <c r="S24" t="e">
        <f>AND(#REF!,"AAAAAErlKRI=")</f>
        <v>#REF!</v>
      </c>
      <c r="T24" t="e">
        <f>AND(#REF!,"AAAAAErlKRM=")</f>
        <v>#REF!</v>
      </c>
      <c r="U24" t="e">
        <f>AND(#REF!,"AAAAAErlKRQ=")</f>
        <v>#REF!</v>
      </c>
      <c r="V24" t="e">
        <f>IF(#REF!,"AAAAAErlKRU=",0)</f>
        <v>#REF!</v>
      </c>
      <c r="W24" t="e">
        <f>AND(#REF!,"AAAAAErlKRY=")</f>
        <v>#REF!</v>
      </c>
      <c r="X24" t="e">
        <f>AND(#REF!,"AAAAAErlKRc=")</f>
        <v>#REF!</v>
      </c>
      <c r="Y24" t="e">
        <f>AND(#REF!,"AAAAAErlKRg=")</f>
        <v>#REF!</v>
      </c>
      <c r="Z24" t="e">
        <f>AND(#REF!,"AAAAAErlKRk=")</f>
        <v>#REF!</v>
      </c>
      <c r="AA24" t="e">
        <f>AND(#REF!,"AAAAAErlKRo=")</f>
        <v>#REF!</v>
      </c>
      <c r="AB24" t="e">
        <f>AND(#REF!,"AAAAAErlKRs=")</f>
        <v>#REF!</v>
      </c>
      <c r="AC24" t="e">
        <f>AND(#REF!,"AAAAAErlKRw=")</f>
        <v>#REF!</v>
      </c>
      <c r="AD24" t="e">
        <f>AND(#REF!,"AAAAAErlKR0=")</f>
        <v>#REF!</v>
      </c>
      <c r="AE24" t="e">
        <f>AND(#REF!,"AAAAAErlKR4=")</f>
        <v>#REF!</v>
      </c>
      <c r="AF24" t="e">
        <f>AND(#REF!,"AAAAAErlKR8=")</f>
        <v>#REF!</v>
      </c>
      <c r="AG24" t="e">
        <f>AND(#REF!,"AAAAAErlKSA=")</f>
        <v>#REF!</v>
      </c>
      <c r="AH24" t="e">
        <f>AND(#REF!,"AAAAAErlKSE=")</f>
        <v>#REF!</v>
      </c>
      <c r="AI24" t="e">
        <f>AND(#REF!,"AAAAAErlKSI=")</f>
        <v>#REF!</v>
      </c>
      <c r="AJ24" t="e">
        <f>AND(#REF!,"AAAAAErlKSM=")</f>
        <v>#REF!</v>
      </c>
      <c r="AK24" t="e">
        <f>AND(#REF!,"AAAAAErlKSQ=")</f>
        <v>#REF!</v>
      </c>
      <c r="AL24" t="e">
        <f>AND(#REF!,"AAAAAErlKSU=")</f>
        <v>#REF!</v>
      </c>
      <c r="AM24" t="e">
        <f>AND(#REF!,"AAAAAErlKSY=")</f>
        <v>#REF!</v>
      </c>
      <c r="AN24" t="e">
        <f>AND(#REF!,"AAAAAErlKSc=")</f>
        <v>#REF!</v>
      </c>
      <c r="AO24" t="e">
        <f>AND(#REF!,"AAAAAErlKSg=")</f>
        <v>#REF!</v>
      </c>
      <c r="AP24" t="e">
        <f>AND(#REF!,"AAAAAErlKSk=")</f>
        <v>#REF!</v>
      </c>
      <c r="AQ24" t="e">
        <f>AND(#REF!,"AAAAAErlKSo=")</f>
        <v>#REF!</v>
      </c>
      <c r="AR24" t="e">
        <f>AND(#REF!,"AAAAAErlKSs=")</f>
        <v>#REF!</v>
      </c>
      <c r="AS24" t="e">
        <f>AND(#REF!,"AAAAAErlKSw=")</f>
        <v>#REF!</v>
      </c>
      <c r="AT24" t="e">
        <f>AND(#REF!,"AAAAAErlKS0=")</f>
        <v>#REF!</v>
      </c>
      <c r="AU24" t="e">
        <f>AND(#REF!,"AAAAAErlKS4=")</f>
        <v>#REF!</v>
      </c>
      <c r="AV24" t="e">
        <f>AND(#REF!,"AAAAAErlKS8=")</f>
        <v>#REF!</v>
      </c>
      <c r="AW24" t="e">
        <f>IF(#REF!,"AAAAAErlKTA=",0)</f>
        <v>#REF!</v>
      </c>
      <c r="AX24" t="e">
        <f>AND(#REF!,"AAAAAErlKTE=")</f>
        <v>#REF!</v>
      </c>
      <c r="AY24" t="e">
        <f>AND(#REF!,"AAAAAErlKTI=")</f>
        <v>#REF!</v>
      </c>
      <c r="AZ24" t="e">
        <f>AND(#REF!,"AAAAAErlKTM=")</f>
        <v>#REF!</v>
      </c>
      <c r="BA24" t="e">
        <f>AND(#REF!,"AAAAAErlKTQ=")</f>
        <v>#REF!</v>
      </c>
      <c r="BB24" t="e">
        <f>AND(#REF!,"AAAAAErlKTU=")</f>
        <v>#REF!</v>
      </c>
      <c r="BC24" t="e">
        <f>AND(#REF!,"AAAAAErlKTY=")</f>
        <v>#REF!</v>
      </c>
      <c r="BD24" t="e">
        <f>AND(#REF!,"AAAAAErlKTc=")</f>
        <v>#REF!</v>
      </c>
      <c r="BE24" t="e">
        <f>AND(#REF!,"AAAAAErlKTg=")</f>
        <v>#REF!</v>
      </c>
      <c r="BF24" t="e">
        <f>AND(#REF!,"AAAAAErlKTk=")</f>
        <v>#REF!</v>
      </c>
      <c r="BG24" t="e">
        <f>AND(#REF!,"AAAAAErlKTo=")</f>
        <v>#REF!</v>
      </c>
      <c r="BH24" t="e">
        <f>AND(#REF!,"AAAAAErlKTs=")</f>
        <v>#REF!</v>
      </c>
      <c r="BI24" t="e">
        <f>AND(#REF!,"AAAAAErlKTw=")</f>
        <v>#REF!</v>
      </c>
      <c r="BJ24" t="e">
        <f>AND(#REF!,"AAAAAErlKT0=")</f>
        <v>#REF!</v>
      </c>
      <c r="BK24" t="e">
        <f>AND(#REF!,"AAAAAErlKT4=")</f>
        <v>#REF!</v>
      </c>
      <c r="BL24" t="e">
        <f>AND(#REF!,"AAAAAErlKT8=")</f>
        <v>#REF!</v>
      </c>
      <c r="BM24" t="e">
        <f>AND(#REF!,"AAAAAErlKUA=")</f>
        <v>#REF!</v>
      </c>
      <c r="BN24" t="e">
        <f>AND(#REF!,"AAAAAErlKUE=")</f>
        <v>#REF!</v>
      </c>
      <c r="BO24" t="e">
        <f>AND(#REF!,"AAAAAErlKUI=")</f>
        <v>#REF!</v>
      </c>
      <c r="BP24" t="e">
        <f>AND(#REF!,"AAAAAErlKUM=")</f>
        <v>#REF!</v>
      </c>
      <c r="BQ24" t="e">
        <f>AND(#REF!,"AAAAAErlKUQ=")</f>
        <v>#REF!</v>
      </c>
      <c r="BR24" t="e">
        <f>AND(#REF!,"AAAAAErlKUU=")</f>
        <v>#REF!</v>
      </c>
      <c r="BS24" t="e">
        <f>AND(#REF!,"AAAAAErlKUY=")</f>
        <v>#REF!</v>
      </c>
      <c r="BT24" t="e">
        <f>AND(#REF!,"AAAAAErlKUc=")</f>
        <v>#REF!</v>
      </c>
      <c r="BU24" t="e">
        <f>AND(#REF!,"AAAAAErlKUg=")</f>
        <v>#REF!</v>
      </c>
      <c r="BV24" t="e">
        <f>AND(#REF!,"AAAAAErlKUk=")</f>
        <v>#REF!</v>
      </c>
      <c r="BW24" t="e">
        <f>AND(#REF!,"AAAAAErlKUo=")</f>
        <v>#REF!</v>
      </c>
      <c r="BX24" t="e">
        <f>IF(#REF!,"AAAAAErlKUs=",0)</f>
        <v>#REF!</v>
      </c>
      <c r="BY24" t="e">
        <f>AND(#REF!,"AAAAAErlKUw=")</f>
        <v>#REF!</v>
      </c>
      <c r="BZ24" t="e">
        <f>AND(#REF!,"AAAAAErlKU0=")</f>
        <v>#REF!</v>
      </c>
      <c r="CA24" t="e">
        <f>AND(#REF!,"AAAAAErlKU4=")</f>
        <v>#REF!</v>
      </c>
      <c r="CB24" t="e">
        <f>AND(#REF!,"AAAAAErlKU8=")</f>
        <v>#REF!</v>
      </c>
      <c r="CC24" t="e">
        <f>AND(#REF!,"AAAAAErlKVA=")</f>
        <v>#REF!</v>
      </c>
      <c r="CD24" t="e">
        <f>AND(#REF!,"AAAAAErlKVE=")</f>
        <v>#REF!</v>
      </c>
      <c r="CE24" t="e">
        <f>AND(#REF!,"AAAAAErlKVI=")</f>
        <v>#REF!</v>
      </c>
      <c r="CF24" t="e">
        <f>AND(#REF!,"AAAAAErlKVM=")</f>
        <v>#REF!</v>
      </c>
      <c r="CG24" t="e">
        <f>AND(#REF!,"AAAAAErlKVQ=")</f>
        <v>#REF!</v>
      </c>
      <c r="CH24" t="e">
        <f>AND(#REF!,"AAAAAErlKVU=")</f>
        <v>#REF!</v>
      </c>
      <c r="CI24" t="e">
        <f>AND(#REF!,"AAAAAErlKVY=")</f>
        <v>#REF!</v>
      </c>
      <c r="CJ24" t="e">
        <f>AND(#REF!,"AAAAAErlKVc=")</f>
        <v>#REF!</v>
      </c>
      <c r="CK24" t="e">
        <f>AND(#REF!,"AAAAAErlKVg=")</f>
        <v>#REF!</v>
      </c>
      <c r="CL24" t="e">
        <f>AND(#REF!,"AAAAAErlKVk=")</f>
        <v>#REF!</v>
      </c>
      <c r="CM24" t="e">
        <f>AND(#REF!,"AAAAAErlKVo=")</f>
        <v>#REF!</v>
      </c>
      <c r="CN24" t="e">
        <f>AND(#REF!,"AAAAAErlKVs=")</f>
        <v>#REF!</v>
      </c>
      <c r="CO24" t="e">
        <f>AND(#REF!,"AAAAAErlKVw=")</f>
        <v>#REF!</v>
      </c>
      <c r="CP24" t="e">
        <f>AND(#REF!,"AAAAAErlKV0=")</f>
        <v>#REF!</v>
      </c>
      <c r="CQ24" t="e">
        <f>AND(#REF!,"AAAAAErlKV4=")</f>
        <v>#REF!</v>
      </c>
      <c r="CR24" t="e">
        <f>AND(#REF!,"AAAAAErlKV8=")</f>
        <v>#REF!</v>
      </c>
      <c r="CS24" t="e">
        <f>AND(#REF!,"AAAAAErlKWA=")</f>
        <v>#REF!</v>
      </c>
      <c r="CT24" t="e">
        <f>AND(#REF!,"AAAAAErlKWE=")</f>
        <v>#REF!</v>
      </c>
      <c r="CU24" t="e">
        <f>AND(#REF!,"AAAAAErlKWI=")</f>
        <v>#REF!</v>
      </c>
      <c r="CV24" t="e">
        <f>AND(#REF!,"AAAAAErlKWM=")</f>
        <v>#REF!</v>
      </c>
      <c r="CW24" t="e">
        <f>AND(#REF!,"AAAAAErlKWQ=")</f>
        <v>#REF!</v>
      </c>
      <c r="CX24" t="e">
        <f>AND(#REF!,"AAAAAErlKWU=")</f>
        <v>#REF!</v>
      </c>
      <c r="CY24" t="e">
        <f>IF(#REF!,"AAAAAErlKWY=",0)</f>
        <v>#REF!</v>
      </c>
      <c r="CZ24" t="e">
        <f>AND(#REF!,"AAAAAErlKWc=")</f>
        <v>#REF!</v>
      </c>
      <c r="DA24" t="e">
        <f>AND(#REF!,"AAAAAErlKWg=")</f>
        <v>#REF!</v>
      </c>
      <c r="DB24" t="e">
        <f>AND(#REF!,"AAAAAErlKWk=")</f>
        <v>#REF!</v>
      </c>
      <c r="DC24" t="e">
        <f>AND(#REF!,"AAAAAErlKWo=")</f>
        <v>#REF!</v>
      </c>
      <c r="DD24" t="e">
        <f>AND(#REF!,"AAAAAErlKWs=")</f>
        <v>#REF!</v>
      </c>
      <c r="DE24" t="e">
        <f>AND(#REF!,"AAAAAErlKWw=")</f>
        <v>#REF!</v>
      </c>
      <c r="DF24" t="e">
        <f>AND(#REF!,"AAAAAErlKW0=")</f>
        <v>#REF!</v>
      </c>
      <c r="DG24" t="e">
        <f>AND(#REF!,"AAAAAErlKW4=")</f>
        <v>#REF!</v>
      </c>
      <c r="DH24" t="e">
        <f>AND(#REF!,"AAAAAErlKW8=")</f>
        <v>#REF!</v>
      </c>
      <c r="DI24" t="e">
        <f>AND(#REF!,"AAAAAErlKXA=")</f>
        <v>#REF!</v>
      </c>
      <c r="DJ24" t="e">
        <f>AND(#REF!,"AAAAAErlKXE=")</f>
        <v>#REF!</v>
      </c>
      <c r="DK24" t="e">
        <f>AND(#REF!,"AAAAAErlKXI=")</f>
        <v>#REF!</v>
      </c>
      <c r="DL24" t="e">
        <f>AND(#REF!,"AAAAAErlKXM=")</f>
        <v>#REF!</v>
      </c>
      <c r="DM24" t="e">
        <f>AND(#REF!,"AAAAAErlKXQ=")</f>
        <v>#REF!</v>
      </c>
      <c r="DN24" t="e">
        <f>AND(#REF!,"AAAAAErlKXU=")</f>
        <v>#REF!</v>
      </c>
      <c r="DO24" t="e">
        <f>AND(#REF!,"AAAAAErlKXY=")</f>
        <v>#REF!</v>
      </c>
      <c r="DP24" t="e">
        <f>AND(#REF!,"AAAAAErlKXc=")</f>
        <v>#REF!</v>
      </c>
      <c r="DQ24" t="e">
        <f>AND(#REF!,"AAAAAErlKXg=")</f>
        <v>#REF!</v>
      </c>
      <c r="DR24" t="e">
        <f>AND(#REF!,"AAAAAErlKXk=")</f>
        <v>#REF!</v>
      </c>
      <c r="DS24" t="e">
        <f>AND(#REF!,"AAAAAErlKXo=")</f>
        <v>#REF!</v>
      </c>
      <c r="DT24" t="e">
        <f>AND(#REF!,"AAAAAErlKXs=")</f>
        <v>#REF!</v>
      </c>
      <c r="DU24" t="e">
        <f>AND(#REF!,"AAAAAErlKXw=")</f>
        <v>#REF!</v>
      </c>
      <c r="DV24" t="e">
        <f>AND(#REF!,"AAAAAErlKX0=")</f>
        <v>#REF!</v>
      </c>
      <c r="DW24" t="e">
        <f>AND(#REF!,"AAAAAErlKX4=")</f>
        <v>#REF!</v>
      </c>
      <c r="DX24" t="e">
        <f>AND(#REF!,"AAAAAErlKX8=")</f>
        <v>#REF!</v>
      </c>
      <c r="DY24" t="e">
        <f>AND(#REF!,"AAAAAErlKYA=")</f>
        <v>#REF!</v>
      </c>
      <c r="DZ24" t="e">
        <f>IF(#REF!,"AAAAAErlKYE=",0)</f>
        <v>#REF!</v>
      </c>
      <c r="EA24" t="e">
        <f>AND(#REF!,"AAAAAErlKYI=")</f>
        <v>#REF!</v>
      </c>
      <c r="EB24" t="e">
        <f>AND(#REF!,"AAAAAErlKYM=")</f>
        <v>#REF!</v>
      </c>
      <c r="EC24" t="e">
        <f>AND(#REF!,"AAAAAErlKYQ=")</f>
        <v>#REF!</v>
      </c>
      <c r="ED24" t="e">
        <f>AND(#REF!,"AAAAAErlKYU=")</f>
        <v>#REF!</v>
      </c>
      <c r="EE24" t="e">
        <f>AND(#REF!,"AAAAAErlKYY=")</f>
        <v>#REF!</v>
      </c>
      <c r="EF24" t="e">
        <f>AND(#REF!,"AAAAAErlKYc=")</f>
        <v>#REF!</v>
      </c>
      <c r="EG24" t="e">
        <f>AND(#REF!,"AAAAAErlKYg=")</f>
        <v>#REF!</v>
      </c>
      <c r="EH24" t="e">
        <f>AND(#REF!,"AAAAAErlKYk=")</f>
        <v>#REF!</v>
      </c>
      <c r="EI24" t="e">
        <f>AND(#REF!,"AAAAAErlKYo=")</f>
        <v>#REF!</v>
      </c>
      <c r="EJ24" t="e">
        <f>AND(#REF!,"AAAAAErlKYs=")</f>
        <v>#REF!</v>
      </c>
      <c r="EK24" t="e">
        <f>AND(#REF!,"AAAAAErlKYw=")</f>
        <v>#REF!</v>
      </c>
      <c r="EL24" t="e">
        <f>AND(#REF!,"AAAAAErlKY0=")</f>
        <v>#REF!</v>
      </c>
      <c r="EM24" t="e">
        <f>AND(#REF!,"AAAAAErlKY4=")</f>
        <v>#REF!</v>
      </c>
      <c r="EN24" t="e">
        <f>AND(#REF!,"AAAAAErlKY8=")</f>
        <v>#REF!</v>
      </c>
      <c r="EO24" t="e">
        <f>AND(#REF!,"AAAAAErlKZA=")</f>
        <v>#REF!</v>
      </c>
      <c r="EP24" t="e">
        <f>AND(#REF!,"AAAAAErlKZE=")</f>
        <v>#REF!</v>
      </c>
      <c r="EQ24" t="e">
        <f>AND(#REF!,"AAAAAErlKZI=")</f>
        <v>#REF!</v>
      </c>
      <c r="ER24" t="e">
        <f>AND(#REF!,"AAAAAErlKZM=")</f>
        <v>#REF!</v>
      </c>
      <c r="ES24" t="e">
        <f>AND(#REF!,"AAAAAErlKZQ=")</f>
        <v>#REF!</v>
      </c>
      <c r="ET24" t="e">
        <f>AND(#REF!,"AAAAAErlKZU=")</f>
        <v>#REF!</v>
      </c>
      <c r="EU24" t="e">
        <f>AND(#REF!,"AAAAAErlKZY=")</f>
        <v>#REF!</v>
      </c>
      <c r="EV24" t="e">
        <f>AND(#REF!,"AAAAAErlKZc=")</f>
        <v>#REF!</v>
      </c>
      <c r="EW24" t="e">
        <f>AND(#REF!,"AAAAAErlKZg=")</f>
        <v>#REF!</v>
      </c>
      <c r="EX24" t="e">
        <f>AND(#REF!,"AAAAAErlKZk=")</f>
        <v>#REF!</v>
      </c>
      <c r="EY24" t="e">
        <f>AND(#REF!,"AAAAAErlKZo=")</f>
        <v>#REF!</v>
      </c>
      <c r="EZ24" t="e">
        <f>AND(#REF!,"AAAAAErlKZs=")</f>
        <v>#REF!</v>
      </c>
      <c r="FA24" t="e">
        <f>IF(#REF!,"AAAAAErlKZw=",0)</f>
        <v>#REF!</v>
      </c>
      <c r="FB24" t="e">
        <f>AND(#REF!,"AAAAAErlKZ0=")</f>
        <v>#REF!</v>
      </c>
      <c r="FC24" t="e">
        <f>AND(#REF!,"AAAAAErlKZ4=")</f>
        <v>#REF!</v>
      </c>
      <c r="FD24" t="e">
        <f>AND(#REF!,"AAAAAErlKZ8=")</f>
        <v>#REF!</v>
      </c>
      <c r="FE24" t="e">
        <f>AND(#REF!,"AAAAAErlKaA=")</f>
        <v>#REF!</v>
      </c>
      <c r="FF24" t="e">
        <f>AND(#REF!,"AAAAAErlKaE=")</f>
        <v>#REF!</v>
      </c>
      <c r="FG24" t="e">
        <f>AND(#REF!,"AAAAAErlKaI=")</f>
        <v>#REF!</v>
      </c>
      <c r="FH24" t="e">
        <f>AND(#REF!,"AAAAAErlKaM=")</f>
        <v>#REF!</v>
      </c>
      <c r="FI24" t="e">
        <f>AND(#REF!,"AAAAAErlKaQ=")</f>
        <v>#REF!</v>
      </c>
      <c r="FJ24" t="e">
        <f>AND(#REF!,"AAAAAErlKaU=")</f>
        <v>#REF!</v>
      </c>
      <c r="FK24" t="e">
        <f>AND(#REF!,"AAAAAErlKaY=")</f>
        <v>#REF!</v>
      </c>
      <c r="FL24" t="e">
        <f>AND(#REF!,"AAAAAErlKac=")</f>
        <v>#REF!</v>
      </c>
      <c r="FM24" t="e">
        <f>AND(#REF!,"AAAAAErlKag=")</f>
        <v>#REF!</v>
      </c>
      <c r="FN24" t="e">
        <f>AND(#REF!,"AAAAAErlKak=")</f>
        <v>#REF!</v>
      </c>
      <c r="FO24" t="e">
        <f>AND(#REF!,"AAAAAErlKao=")</f>
        <v>#REF!</v>
      </c>
      <c r="FP24" t="e">
        <f>AND(#REF!,"AAAAAErlKas=")</f>
        <v>#REF!</v>
      </c>
      <c r="FQ24" t="e">
        <f>AND(#REF!,"AAAAAErlKaw=")</f>
        <v>#REF!</v>
      </c>
      <c r="FR24" t="e">
        <f>AND(#REF!,"AAAAAErlKa0=")</f>
        <v>#REF!</v>
      </c>
      <c r="FS24" t="e">
        <f>AND(#REF!,"AAAAAErlKa4=")</f>
        <v>#REF!</v>
      </c>
      <c r="FT24" t="e">
        <f>AND(#REF!,"AAAAAErlKa8=")</f>
        <v>#REF!</v>
      </c>
      <c r="FU24" t="e">
        <f>AND(#REF!,"AAAAAErlKbA=")</f>
        <v>#REF!</v>
      </c>
      <c r="FV24" t="e">
        <f>AND(#REF!,"AAAAAErlKbE=")</f>
        <v>#REF!</v>
      </c>
      <c r="FW24" t="e">
        <f>AND(#REF!,"AAAAAErlKbI=")</f>
        <v>#REF!</v>
      </c>
      <c r="FX24" t="e">
        <f>AND(#REF!,"AAAAAErlKbM=")</f>
        <v>#REF!</v>
      </c>
      <c r="FY24" t="e">
        <f>AND(#REF!,"AAAAAErlKbQ=")</f>
        <v>#REF!</v>
      </c>
      <c r="FZ24" t="e">
        <f>AND(#REF!,"AAAAAErlKbU=")</f>
        <v>#REF!</v>
      </c>
      <c r="GA24" t="e">
        <f>AND(#REF!,"AAAAAErlKbY=")</f>
        <v>#REF!</v>
      </c>
      <c r="GB24" t="e">
        <f>IF(#REF!,"AAAAAErlKbc=",0)</f>
        <v>#REF!</v>
      </c>
      <c r="GC24" t="e">
        <f>AND(#REF!,"AAAAAErlKbg=")</f>
        <v>#REF!</v>
      </c>
      <c r="GD24" t="e">
        <f>AND(#REF!,"AAAAAErlKbk=")</f>
        <v>#REF!</v>
      </c>
      <c r="GE24" t="e">
        <f>AND(#REF!,"AAAAAErlKbo=")</f>
        <v>#REF!</v>
      </c>
      <c r="GF24" t="e">
        <f>AND(#REF!,"AAAAAErlKbs=")</f>
        <v>#REF!</v>
      </c>
      <c r="GG24" t="e">
        <f>AND(#REF!,"AAAAAErlKbw=")</f>
        <v>#REF!</v>
      </c>
      <c r="GH24" t="e">
        <f>AND(#REF!,"AAAAAErlKb0=")</f>
        <v>#REF!</v>
      </c>
      <c r="GI24" t="e">
        <f>AND(#REF!,"AAAAAErlKb4=")</f>
        <v>#REF!</v>
      </c>
      <c r="GJ24" t="e">
        <f>AND(#REF!,"AAAAAErlKb8=")</f>
        <v>#REF!</v>
      </c>
      <c r="GK24" t="e">
        <f>AND(#REF!,"AAAAAErlKcA=")</f>
        <v>#REF!</v>
      </c>
      <c r="GL24" t="e">
        <f>AND(#REF!,"AAAAAErlKcE=")</f>
        <v>#REF!</v>
      </c>
      <c r="GM24" t="e">
        <f>AND(#REF!,"AAAAAErlKcI=")</f>
        <v>#REF!</v>
      </c>
      <c r="GN24" t="e">
        <f>AND(#REF!,"AAAAAErlKcM=")</f>
        <v>#REF!</v>
      </c>
      <c r="GO24" t="e">
        <f>AND(#REF!,"AAAAAErlKcQ=")</f>
        <v>#REF!</v>
      </c>
      <c r="GP24" t="e">
        <f>AND(#REF!,"AAAAAErlKcU=")</f>
        <v>#REF!</v>
      </c>
      <c r="GQ24" t="e">
        <f>AND(#REF!,"AAAAAErlKcY=")</f>
        <v>#REF!</v>
      </c>
      <c r="GR24" t="e">
        <f>AND(#REF!,"AAAAAErlKcc=")</f>
        <v>#REF!</v>
      </c>
      <c r="GS24" t="e">
        <f>AND(#REF!,"AAAAAErlKcg=")</f>
        <v>#REF!</v>
      </c>
      <c r="GT24" t="e">
        <f>AND(#REF!,"AAAAAErlKck=")</f>
        <v>#REF!</v>
      </c>
      <c r="GU24" t="e">
        <f>AND(#REF!,"AAAAAErlKco=")</f>
        <v>#REF!</v>
      </c>
      <c r="GV24" t="e">
        <f>AND(#REF!,"AAAAAErlKcs=")</f>
        <v>#REF!</v>
      </c>
      <c r="GW24" t="e">
        <f>AND(#REF!,"AAAAAErlKcw=")</f>
        <v>#REF!</v>
      </c>
      <c r="GX24" t="e">
        <f>AND(#REF!,"AAAAAErlKc0=")</f>
        <v>#REF!</v>
      </c>
      <c r="GY24" t="e">
        <f>AND(#REF!,"AAAAAErlKc4=")</f>
        <v>#REF!</v>
      </c>
      <c r="GZ24" t="e">
        <f>AND(#REF!,"AAAAAErlKc8=")</f>
        <v>#REF!</v>
      </c>
      <c r="HA24" t="e">
        <f>AND(#REF!,"AAAAAErlKdA=")</f>
        <v>#REF!</v>
      </c>
      <c r="HB24" t="e">
        <f>AND(#REF!,"AAAAAErlKdE=")</f>
        <v>#REF!</v>
      </c>
      <c r="HC24" t="e">
        <f>IF(#REF!,"AAAAAErlKdI=",0)</f>
        <v>#REF!</v>
      </c>
      <c r="HD24" t="e">
        <f>AND(#REF!,"AAAAAErlKdM=")</f>
        <v>#REF!</v>
      </c>
      <c r="HE24" t="e">
        <f>AND(#REF!,"AAAAAErlKdQ=")</f>
        <v>#REF!</v>
      </c>
      <c r="HF24" t="e">
        <f>AND(#REF!,"AAAAAErlKdU=")</f>
        <v>#REF!</v>
      </c>
      <c r="HG24" t="e">
        <f>AND(#REF!,"AAAAAErlKdY=")</f>
        <v>#REF!</v>
      </c>
      <c r="HH24" t="e">
        <f>AND(#REF!,"AAAAAErlKdc=")</f>
        <v>#REF!</v>
      </c>
      <c r="HI24" t="e">
        <f>AND(#REF!,"AAAAAErlKdg=")</f>
        <v>#REF!</v>
      </c>
      <c r="HJ24" t="e">
        <f>AND(#REF!,"AAAAAErlKdk=")</f>
        <v>#REF!</v>
      </c>
      <c r="HK24" t="e">
        <f>AND(#REF!,"AAAAAErlKdo=")</f>
        <v>#REF!</v>
      </c>
      <c r="HL24" t="e">
        <f>AND(#REF!,"AAAAAErlKds=")</f>
        <v>#REF!</v>
      </c>
      <c r="HM24" t="e">
        <f>AND(#REF!,"AAAAAErlKdw=")</f>
        <v>#REF!</v>
      </c>
      <c r="HN24" t="e">
        <f>AND(#REF!,"AAAAAErlKd0=")</f>
        <v>#REF!</v>
      </c>
      <c r="HO24" t="e">
        <f>AND(#REF!,"AAAAAErlKd4=")</f>
        <v>#REF!</v>
      </c>
      <c r="HP24" t="e">
        <f>AND(#REF!,"AAAAAErlKd8=")</f>
        <v>#REF!</v>
      </c>
      <c r="HQ24" t="e">
        <f>AND(#REF!,"AAAAAErlKeA=")</f>
        <v>#REF!</v>
      </c>
      <c r="HR24" t="e">
        <f>AND(#REF!,"AAAAAErlKeE=")</f>
        <v>#REF!</v>
      </c>
      <c r="HS24" t="e">
        <f>AND(#REF!,"AAAAAErlKeI=")</f>
        <v>#REF!</v>
      </c>
      <c r="HT24" t="e">
        <f>AND(#REF!,"AAAAAErlKeM=")</f>
        <v>#REF!</v>
      </c>
      <c r="HU24" t="e">
        <f>AND(#REF!,"AAAAAErlKeQ=")</f>
        <v>#REF!</v>
      </c>
      <c r="HV24" t="e">
        <f>AND(#REF!,"AAAAAErlKeU=")</f>
        <v>#REF!</v>
      </c>
      <c r="HW24" t="e">
        <f>AND(#REF!,"AAAAAErlKeY=")</f>
        <v>#REF!</v>
      </c>
      <c r="HX24" t="e">
        <f>AND(#REF!,"AAAAAErlKec=")</f>
        <v>#REF!</v>
      </c>
      <c r="HY24" t="e">
        <f>AND(#REF!,"AAAAAErlKeg=")</f>
        <v>#REF!</v>
      </c>
      <c r="HZ24" t="e">
        <f>AND(#REF!,"AAAAAErlKek=")</f>
        <v>#REF!</v>
      </c>
      <c r="IA24" t="e">
        <f>AND(#REF!,"AAAAAErlKeo=")</f>
        <v>#REF!</v>
      </c>
      <c r="IB24" t="e">
        <f>AND(#REF!,"AAAAAErlKes=")</f>
        <v>#REF!</v>
      </c>
      <c r="IC24" t="e">
        <f>AND(#REF!,"AAAAAErlKew=")</f>
        <v>#REF!</v>
      </c>
      <c r="ID24" t="e">
        <f>IF(#REF!,"AAAAAErlKe0=",0)</f>
        <v>#REF!</v>
      </c>
      <c r="IE24" t="e">
        <f>AND(#REF!,"AAAAAErlKe4=")</f>
        <v>#REF!</v>
      </c>
      <c r="IF24" t="e">
        <f>AND(#REF!,"AAAAAErlKe8=")</f>
        <v>#REF!</v>
      </c>
      <c r="IG24" t="e">
        <f>AND(#REF!,"AAAAAErlKfA=")</f>
        <v>#REF!</v>
      </c>
      <c r="IH24" t="e">
        <f>AND(#REF!,"AAAAAErlKfE=")</f>
        <v>#REF!</v>
      </c>
      <c r="II24" t="e">
        <f>AND(#REF!,"AAAAAErlKfI=")</f>
        <v>#REF!</v>
      </c>
      <c r="IJ24" t="e">
        <f>AND(#REF!,"AAAAAErlKfM=")</f>
        <v>#REF!</v>
      </c>
      <c r="IK24" t="e">
        <f>AND(#REF!,"AAAAAErlKfQ=")</f>
        <v>#REF!</v>
      </c>
      <c r="IL24" t="e">
        <f>AND(#REF!,"AAAAAErlKfU=")</f>
        <v>#REF!</v>
      </c>
      <c r="IM24" t="e">
        <f>AND(#REF!,"AAAAAErlKfY=")</f>
        <v>#REF!</v>
      </c>
      <c r="IN24" t="e">
        <f>AND(#REF!,"AAAAAErlKfc=")</f>
        <v>#REF!</v>
      </c>
      <c r="IO24" t="e">
        <f>AND(#REF!,"AAAAAErlKfg=")</f>
        <v>#REF!</v>
      </c>
      <c r="IP24" t="e">
        <f>AND(#REF!,"AAAAAErlKfk=")</f>
        <v>#REF!</v>
      </c>
      <c r="IQ24" t="e">
        <f>AND(#REF!,"AAAAAErlKfo=")</f>
        <v>#REF!</v>
      </c>
      <c r="IR24" t="e">
        <f>AND(#REF!,"AAAAAErlKfs=")</f>
        <v>#REF!</v>
      </c>
      <c r="IS24" t="e">
        <f>AND(#REF!,"AAAAAErlKfw=")</f>
        <v>#REF!</v>
      </c>
      <c r="IT24" t="e">
        <f>AND(#REF!,"AAAAAErlKf0=")</f>
        <v>#REF!</v>
      </c>
      <c r="IU24" t="e">
        <f>AND(#REF!,"AAAAAErlKf4=")</f>
        <v>#REF!</v>
      </c>
      <c r="IV24" t="e">
        <f>AND(#REF!,"AAAAAErlKf8=")</f>
        <v>#REF!</v>
      </c>
    </row>
    <row r="25" spans="1:256" x14ac:dyDescent="0.2">
      <c r="A25" t="e">
        <f>AND(#REF!,"AAAAAHfX/wA=")</f>
        <v>#REF!</v>
      </c>
      <c r="B25" t="e">
        <f>AND(#REF!,"AAAAAHfX/wE=")</f>
        <v>#REF!</v>
      </c>
      <c r="C25" t="e">
        <f>AND(#REF!,"AAAAAHfX/wI=")</f>
        <v>#REF!</v>
      </c>
      <c r="D25" t="e">
        <f>AND(#REF!,"AAAAAHfX/wM=")</f>
        <v>#REF!</v>
      </c>
      <c r="E25" t="e">
        <f>AND(#REF!,"AAAAAHfX/wQ=")</f>
        <v>#REF!</v>
      </c>
      <c r="F25" t="e">
        <f>AND(#REF!,"AAAAAHfX/wU=")</f>
        <v>#REF!</v>
      </c>
      <c r="G25" t="e">
        <f>AND(#REF!,"AAAAAHfX/wY=")</f>
        <v>#REF!</v>
      </c>
      <c r="H25" t="e">
        <f>AND(#REF!,"AAAAAHfX/wc=")</f>
        <v>#REF!</v>
      </c>
      <c r="I25" t="e">
        <f>IF(#REF!,"AAAAAHfX/wg=",0)</f>
        <v>#REF!</v>
      </c>
      <c r="J25" t="e">
        <f>AND(#REF!,"AAAAAHfX/wk=")</f>
        <v>#REF!</v>
      </c>
      <c r="K25" t="e">
        <f>AND(#REF!,"AAAAAHfX/wo=")</f>
        <v>#REF!</v>
      </c>
      <c r="L25" t="e">
        <f>AND(#REF!,"AAAAAHfX/ws=")</f>
        <v>#REF!</v>
      </c>
      <c r="M25" t="e">
        <f>AND(#REF!,"AAAAAHfX/ww=")</f>
        <v>#REF!</v>
      </c>
      <c r="N25" t="e">
        <f>AND(#REF!,"AAAAAHfX/w0=")</f>
        <v>#REF!</v>
      </c>
      <c r="O25" t="e">
        <f>AND(#REF!,"AAAAAHfX/w4=")</f>
        <v>#REF!</v>
      </c>
      <c r="P25" t="e">
        <f>AND(#REF!,"AAAAAHfX/w8=")</f>
        <v>#REF!</v>
      </c>
      <c r="Q25" t="e">
        <f>AND(#REF!,"AAAAAHfX/xA=")</f>
        <v>#REF!</v>
      </c>
      <c r="R25" t="e">
        <f>AND(#REF!,"AAAAAHfX/xE=")</f>
        <v>#REF!</v>
      </c>
      <c r="S25" t="e">
        <f>AND(#REF!,"AAAAAHfX/xI=")</f>
        <v>#REF!</v>
      </c>
      <c r="T25" t="e">
        <f>AND(#REF!,"AAAAAHfX/xM=")</f>
        <v>#REF!</v>
      </c>
      <c r="U25" t="e">
        <f>AND(#REF!,"AAAAAHfX/xQ=")</f>
        <v>#REF!</v>
      </c>
      <c r="V25" t="e">
        <f>AND(#REF!,"AAAAAHfX/xU=")</f>
        <v>#REF!</v>
      </c>
      <c r="W25" t="e">
        <f>AND(#REF!,"AAAAAHfX/xY=")</f>
        <v>#REF!</v>
      </c>
      <c r="X25" t="e">
        <f>AND(#REF!,"AAAAAHfX/xc=")</f>
        <v>#REF!</v>
      </c>
      <c r="Y25" t="e">
        <f>AND(#REF!,"AAAAAHfX/xg=")</f>
        <v>#REF!</v>
      </c>
      <c r="Z25" t="e">
        <f>AND(#REF!,"AAAAAHfX/xk=")</f>
        <v>#REF!</v>
      </c>
      <c r="AA25" t="e">
        <f>AND(#REF!,"AAAAAHfX/xo=")</f>
        <v>#REF!</v>
      </c>
      <c r="AB25" t="e">
        <f>AND(#REF!,"AAAAAHfX/xs=")</f>
        <v>#REF!</v>
      </c>
      <c r="AC25" t="e">
        <f>AND(#REF!,"AAAAAHfX/xw=")</f>
        <v>#REF!</v>
      </c>
      <c r="AD25" t="e">
        <f>AND(#REF!,"AAAAAHfX/x0=")</f>
        <v>#REF!</v>
      </c>
      <c r="AE25" t="e">
        <f>AND(#REF!,"AAAAAHfX/x4=")</f>
        <v>#REF!</v>
      </c>
      <c r="AF25" t="e">
        <f>AND(#REF!,"AAAAAHfX/x8=")</f>
        <v>#REF!</v>
      </c>
      <c r="AG25" t="e">
        <f>AND(#REF!,"AAAAAHfX/yA=")</f>
        <v>#REF!</v>
      </c>
      <c r="AH25" t="e">
        <f>AND(#REF!,"AAAAAHfX/yE=")</f>
        <v>#REF!</v>
      </c>
      <c r="AI25" t="e">
        <f>AND(#REF!,"AAAAAHfX/yI=")</f>
        <v>#REF!</v>
      </c>
      <c r="AJ25" t="e">
        <f>IF(#REF!,"AAAAAHfX/yM=",0)</f>
        <v>#REF!</v>
      </c>
      <c r="AK25" t="e">
        <f>AND(#REF!,"AAAAAHfX/yQ=")</f>
        <v>#REF!</v>
      </c>
      <c r="AL25" t="e">
        <f>AND(#REF!,"AAAAAHfX/yU=")</f>
        <v>#REF!</v>
      </c>
      <c r="AM25" t="e">
        <f>AND(#REF!,"AAAAAHfX/yY=")</f>
        <v>#REF!</v>
      </c>
      <c r="AN25" t="e">
        <f>AND(#REF!,"AAAAAHfX/yc=")</f>
        <v>#REF!</v>
      </c>
      <c r="AO25" t="e">
        <f>AND(#REF!,"AAAAAHfX/yg=")</f>
        <v>#REF!</v>
      </c>
      <c r="AP25" t="e">
        <f>AND(#REF!,"AAAAAHfX/yk=")</f>
        <v>#REF!</v>
      </c>
      <c r="AQ25" t="e">
        <f>AND(#REF!,"AAAAAHfX/yo=")</f>
        <v>#REF!</v>
      </c>
      <c r="AR25" t="e">
        <f>AND(#REF!,"AAAAAHfX/ys=")</f>
        <v>#REF!</v>
      </c>
      <c r="AS25" t="e">
        <f>AND(#REF!,"AAAAAHfX/yw=")</f>
        <v>#REF!</v>
      </c>
      <c r="AT25" t="e">
        <f>AND(#REF!,"AAAAAHfX/y0=")</f>
        <v>#REF!</v>
      </c>
      <c r="AU25" t="e">
        <f>AND(#REF!,"AAAAAHfX/y4=")</f>
        <v>#REF!</v>
      </c>
      <c r="AV25" t="e">
        <f>AND(#REF!,"AAAAAHfX/y8=")</f>
        <v>#REF!</v>
      </c>
      <c r="AW25" t="e">
        <f>AND(#REF!,"AAAAAHfX/zA=")</f>
        <v>#REF!</v>
      </c>
      <c r="AX25" t="e">
        <f>AND(#REF!,"AAAAAHfX/zE=")</f>
        <v>#REF!</v>
      </c>
      <c r="AY25" t="e">
        <f>AND(#REF!,"AAAAAHfX/zI=")</f>
        <v>#REF!</v>
      </c>
      <c r="AZ25" t="e">
        <f>AND(#REF!,"AAAAAHfX/zM=")</f>
        <v>#REF!</v>
      </c>
      <c r="BA25" t="e">
        <f>AND(#REF!,"AAAAAHfX/zQ=")</f>
        <v>#REF!</v>
      </c>
      <c r="BB25" t="e">
        <f>AND(#REF!,"AAAAAHfX/zU=")</f>
        <v>#REF!</v>
      </c>
      <c r="BC25" t="e">
        <f>AND(#REF!,"AAAAAHfX/zY=")</f>
        <v>#REF!</v>
      </c>
      <c r="BD25" t="e">
        <f>AND(#REF!,"AAAAAHfX/zc=")</f>
        <v>#REF!</v>
      </c>
      <c r="BE25" t="e">
        <f>AND(#REF!,"AAAAAHfX/zg=")</f>
        <v>#REF!</v>
      </c>
      <c r="BF25" t="e">
        <f>AND(#REF!,"AAAAAHfX/zk=")</f>
        <v>#REF!</v>
      </c>
      <c r="BG25" t="e">
        <f>AND(#REF!,"AAAAAHfX/zo=")</f>
        <v>#REF!</v>
      </c>
      <c r="BH25" t="e">
        <f>AND(#REF!,"AAAAAHfX/zs=")</f>
        <v>#REF!</v>
      </c>
      <c r="BI25" t="e">
        <f>AND(#REF!,"AAAAAHfX/zw=")</f>
        <v>#REF!</v>
      </c>
      <c r="BJ25" t="e">
        <f>AND(#REF!,"AAAAAHfX/z0=")</f>
        <v>#REF!</v>
      </c>
      <c r="BK25" t="e">
        <f>IF(#REF!,"AAAAAHfX/z4=",0)</f>
        <v>#REF!</v>
      </c>
      <c r="BL25" t="e">
        <f>AND(#REF!,"AAAAAHfX/z8=")</f>
        <v>#REF!</v>
      </c>
      <c r="BM25" t="e">
        <f>AND(#REF!,"AAAAAHfX/0A=")</f>
        <v>#REF!</v>
      </c>
      <c r="BN25" t="e">
        <f>AND(#REF!,"AAAAAHfX/0E=")</f>
        <v>#REF!</v>
      </c>
      <c r="BO25" t="e">
        <f>AND(#REF!,"AAAAAHfX/0I=")</f>
        <v>#REF!</v>
      </c>
      <c r="BP25" t="e">
        <f>AND(#REF!,"AAAAAHfX/0M=")</f>
        <v>#REF!</v>
      </c>
      <c r="BQ25" t="e">
        <f>AND(#REF!,"AAAAAHfX/0Q=")</f>
        <v>#REF!</v>
      </c>
      <c r="BR25" t="e">
        <f>AND(#REF!,"AAAAAHfX/0U=")</f>
        <v>#REF!</v>
      </c>
      <c r="BS25" t="e">
        <f>AND(#REF!,"AAAAAHfX/0Y=")</f>
        <v>#REF!</v>
      </c>
      <c r="BT25" t="e">
        <f>AND(#REF!,"AAAAAHfX/0c=")</f>
        <v>#REF!</v>
      </c>
      <c r="BU25" t="e">
        <f>AND(#REF!,"AAAAAHfX/0g=")</f>
        <v>#REF!</v>
      </c>
      <c r="BV25" t="e">
        <f>AND(#REF!,"AAAAAHfX/0k=")</f>
        <v>#REF!</v>
      </c>
      <c r="BW25" t="e">
        <f>AND(#REF!,"AAAAAHfX/0o=")</f>
        <v>#REF!</v>
      </c>
      <c r="BX25" t="e">
        <f>AND(#REF!,"AAAAAHfX/0s=")</f>
        <v>#REF!</v>
      </c>
      <c r="BY25" t="e">
        <f>AND(#REF!,"AAAAAHfX/0w=")</f>
        <v>#REF!</v>
      </c>
      <c r="BZ25" t="e">
        <f>AND(#REF!,"AAAAAHfX/00=")</f>
        <v>#REF!</v>
      </c>
      <c r="CA25" t="e">
        <f>AND(#REF!,"AAAAAHfX/04=")</f>
        <v>#REF!</v>
      </c>
      <c r="CB25" t="e">
        <f>AND(#REF!,"AAAAAHfX/08=")</f>
        <v>#REF!</v>
      </c>
      <c r="CC25" t="e">
        <f>AND(#REF!,"AAAAAHfX/1A=")</f>
        <v>#REF!</v>
      </c>
      <c r="CD25" t="e">
        <f>AND(#REF!,"AAAAAHfX/1E=")</f>
        <v>#REF!</v>
      </c>
      <c r="CE25" t="e">
        <f>AND(#REF!,"AAAAAHfX/1I=")</f>
        <v>#REF!</v>
      </c>
      <c r="CF25" t="e">
        <f>AND(#REF!,"AAAAAHfX/1M=")</f>
        <v>#REF!</v>
      </c>
      <c r="CG25" t="e">
        <f>AND(#REF!,"AAAAAHfX/1Q=")</f>
        <v>#REF!</v>
      </c>
      <c r="CH25" t="e">
        <f>AND(#REF!,"AAAAAHfX/1U=")</f>
        <v>#REF!</v>
      </c>
      <c r="CI25" t="e">
        <f>AND(#REF!,"AAAAAHfX/1Y=")</f>
        <v>#REF!</v>
      </c>
      <c r="CJ25" t="e">
        <f>AND(#REF!,"AAAAAHfX/1c=")</f>
        <v>#REF!</v>
      </c>
      <c r="CK25" t="e">
        <f>AND(#REF!,"AAAAAHfX/1g=")</f>
        <v>#REF!</v>
      </c>
      <c r="CL25" t="e">
        <f>IF(#REF!,"AAAAAHfX/1k=",0)</f>
        <v>#REF!</v>
      </c>
      <c r="CM25" t="e">
        <f>AND(#REF!,"AAAAAHfX/1o=")</f>
        <v>#REF!</v>
      </c>
      <c r="CN25" t="e">
        <f>AND(#REF!,"AAAAAHfX/1s=")</f>
        <v>#REF!</v>
      </c>
      <c r="CO25" t="e">
        <f>AND(#REF!,"AAAAAHfX/1w=")</f>
        <v>#REF!</v>
      </c>
      <c r="CP25" t="e">
        <f>AND(#REF!,"AAAAAHfX/10=")</f>
        <v>#REF!</v>
      </c>
      <c r="CQ25" t="e">
        <f>AND(#REF!,"AAAAAHfX/14=")</f>
        <v>#REF!</v>
      </c>
      <c r="CR25" t="e">
        <f>AND(#REF!,"AAAAAHfX/18=")</f>
        <v>#REF!</v>
      </c>
      <c r="CS25" t="e">
        <f>AND(#REF!,"AAAAAHfX/2A=")</f>
        <v>#REF!</v>
      </c>
      <c r="CT25" t="e">
        <f>AND(#REF!,"AAAAAHfX/2E=")</f>
        <v>#REF!</v>
      </c>
      <c r="CU25" t="e">
        <f>AND(#REF!,"AAAAAHfX/2I=")</f>
        <v>#REF!</v>
      </c>
      <c r="CV25" t="e">
        <f>AND(#REF!,"AAAAAHfX/2M=")</f>
        <v>#REF!</v>
      </c>
      <c r="CW25" t="e">
        <f>AND(#REF!,"AAAAAHfX/2Q=")</f>
        <v>#REF!</v>
      </c>
      <c r="CX25" t="e">
        <f>AND(#REF!,"AAAAAHfX/2U=")</f>
        <v>#REF!</v>
      </c>
      <c r="CY25" t="e">
        <f>AND(#REF!,"AAAAAHfX/2Y=")</f>
        <v>#REF!</v>
      </c>
      <c r="CZ25" t="e">
        <f>AND(#REF!,"AAAAAHfX/2c=")</f>
        <v>#REF!</v>
      </c>
      <c r="DA25" t="e">
        <f>AND(#REF!,"AAAAAHfX/2g=")</f>
        <v>#REF!</v>
      </c>
      <c r="DB25" t="e">
        <f>AND(#REF!,"AAAAAHfX/2k=")</f>
        <v>#REF!</v>
      </c>
      <c r="DC25" t="e">
        <f>AND(#REF!,"AAAAAHfX/2o=")</f>
        <v>#REF!</v>
      </c>
      <c r="DD25" t="e">
        <f>AND(#REF!,"AAAAAHfX/2s=")</f>
        <v>#REF!</v>
      </c>
      <c r="DE25" t="e">
        <f>AND(#REF!,"AAAAAHfX/2w=")</f>
        <v>#REF!</v>
      </c>
      <c r="DF25" t="e">
        <f>AND(#REF!,"AAAAAHfX/20=")</f>
        <v>#REF!</v>
      </c>
      <c r="DG25" t="e">
        <f>AND(#REF!,"AAAAAHfX/24=")</f>
        <v>#REF!</v>
      </c>
      <c r="DH25" t="e">
        <f>AND(#REF!,"AAAAAHfX/28=")</f>
        <v>#REF!</v>
      </c>
      <c r="DI25" t="e">
        <f>AND(#REF!,"AAAAAHfX/3A=")</f>
        <v>#REF!</v>
      </c>
      <c r="DJ25" t="e">
        <f>AND(#REF!,"AAAAAHfX/3E=")</f>
        <v>#REF!</v>
      </c>
      <c r="DK25" t="e">
        <f>AND(#REF!,"AAAAAHfX/3I=")</f>
        <v>#REF!</v>
      </c>
      <c r="DL25" t="e">
        <f>AND(#REF!,"AAAAAHfX/3M=")</f>
        <v>#REF!</v>
      </c>
      <c r="DM25" t="e">
        <f>IF(#REF!,"AAAAAHfX/3Q=",0)</f>
        <v>#REF!</v>
      </c>
      <c r="DN25" t="e">
        <f>AND(#REF!,"AAAAAHfX/3U=")</f>
        <v>#REF!</v>
      </c>
      <c r="DO25" t="e">
        <f>AND(#REF!,"AAAAAHfX/3Y=")</f>
        <v>#REF!</v>
      </c>
      <c r="DP25" t="e">
        <f>AND(#REF!,"AAAAAHfX/3c=")</f>
        <v>#REF!</v>
      </c>
      <c r="DQ25" t="e">
        <f>AND(#REF!,"AAAAAHfX/3g=")</f>
        <v>#REF!</v>
      </c>
      <c r="DR25" t="e">
        <f>AND(#REF!,"AAAAAHfX/3k=")</f>
        <v>#REF!</v>
      </c>
      <c r="DS25" t="e">
        <f>AND(#REF!,"AAAAAHfX/3o=")</f>
        <v>#REF!</v>
      </c>
      <c r="DT25" t="e">
        <f>AND(#REF!,"AAAAAHfX/3s=")</f>
        <v>#REF!</v>
      </c>
      <c r="DU25" t="e">
        <f>AND(#REF!,"AAAAAHfX/3w=")</f>
        <v>#REF!</v>
      </c>
      <c r="DV25" t="e">
        <f>AND(#REF!,"AAAAAHfX/30=")</f>
        <v>#REF!</v>
      </c>
      <c r="DW25" t="e">
        <f>AND(#REF!,"AAAAAHfX/34=")</f>
        <v>#REF!</v>
      </c>
      <c r="DX25" t="e">
        <f>AND(#REF!,"AAAAAHfX/38=")</f>
        <v>#REF!</v>
      </c>
      <c r="DY25" t="e">
        <f>AND(#REF!,"AAAAAHfX/4A=")</f>
        <v>#REF!</v>
      </c>
      <c r="DZ25" t="e">
        <f>AND(#REF!,"AAAAAHfX/4E=")</f>
        <v>#REF!</v>
      </c>
      <c r="EA25" t="e">
        <f>AND(#REF!,"AAAAAHfX/4I=")</f>
        <v>#REF!</v>
      </c>
      <c r="EB25" t="e">
        <f>AND(#REF!,"AAAAAHfX/4M=")</f>
        <v>#REF!</v>
      </c>
      <c r="EC25" t="e">
        <f>AND(#REF!,"AAAAAHfX/4Q=")</f>
        <v>#REF!</v>
      </c>
      <c r="ED25" t="e">
        <f>AND(#REF!,"AAAAAHfX/4U=")</f>
        <v>#REF!</v>
      </c>
      <c r="EE25" t="e">
        <f>AND(#REF!,"AAAAAHfX/4Y=")</f>
        <v>#REF!</v>
      </c>
      <c r="EF25" t="e">
        <f>AND(#REF!,"AAAAAHfX/4c=")</f>
        <v>#REF!</v>
      </c>
      <c r="EG25" t="e">
        <f>AND(#REF!,"AAAAAHfX/4g=")</f>
        <v>#REF!</v>
      </c>
      <c r="EH25" t="e">
        <f>AND(#REF!,"AAAAAHfX/4k=")</f>
        <v>#REF!</v>
      </c>
      <c r="EI25" t="e">
        <f>AND(#REF!,"AAAAAHfX/4o=")</f>
        <v>#REF!</v>
      </c>
      <c r="EJ25" t="e">
        <f>AND(#REF!,"AAAAAHfX/4s=")</f>
        <v>#REF!</v>
      </c>
      <c r="EK25" t="e">
        <f>AND(#REF!,"AAAAAHfX/4w=")</f>
        <v>#REF!</v>
      </c>
      <c r="EL25" t="e">
        <f>AND(#REF!,"AAAAAHfX/40=")</f>
        <v>#REF!</v>
      </c>
      <c r="EM25" t="e">
        <f>AND(#REF!,"AAAAAHfX/44=")</f>
        <v>#REF!</v>
      </c>
      <c r="EN25" t="e">
        <f>IF(#REF!,"AAAAAHfX/48=",0)</f>
        <v>#REF!</v>
      </c>
      <c r="EO25" t="e">
        <f>AND(#REF!,"AAAAAHfX/5A=")</f>
        <v>#REF!</v>
      </c>
      <c r="EP25" t="e">
        <f>AND(#REF!,"AAAAAHfX/5E=")</f>
        <v>#REF!</v>
      </c>
      <c r="EQ25" t="e">
        <f>AND(#REF!,"AAAAAHfX/5I=")</f>
        <v>#REF!</v>
      </c>
      <c r="ER25" t="e">
        <f>AND(#REF!,"AAAAAHfX/5M=")</f>
        <v>#REF!</v>
      </c>
      <c r="ES25" t="e">
        <f>AND(#REF!,"AAAAAHfX/5Q=")</f>
        <v>#REF!</v>
      </c>
      <c r="ET25" t="e">
        <f>AND(#REF!,"AAAAAHfX/5U=")</f>
        <v>#REF!</v>
      </c>
      <c r="EU25" t="e">
        <f>AND(#REF!,"AAAAAHfX/5Y=")</f>
        <v>#REF!</v>
      </c>
      <c r="EV25" t="e">
        <f>AND(#REF!,"AAAAAHfX/5c=")</f>
        <v>#REF!</v>
      </c>
      <c r="EW25" t="e">
        <f>AND(#REF!,"AAAAAHfX/5g=")</f>
        <v>#REF!</v>
      </c>
      <c r="EX25" t="e">
        <f>AND(#REF!,"AAAAAHfX/5k=")</f>
        <v>#REF!</v>
      </c>
      <c r="EY25" t="e">
        <f>AND(#REF!,"AAAAAHfX/5o=")</f>
        <v>#REF!</v>
      </c>
      <c r="EZ25" t="e">
        <f>AND(#REF!,"AAAAAHfX/5s=")</f>
        <v>#REF!</v>
      </c>
      <c r="FA25" t="e">
        <f>AND(#REF!,"AAAAAHfX/5w=")</f>
        <v>#REF!</v>
      </c>
      <c r="FB25" t="e">
        <f>AND(#REF!,"AAAAAHfX/50=")</f>
        <v>#REF!</v>
      </c>
      <c r="FC25" t="e">
        <f>AND(#REF!,"AAAAAHfX/54=")</f>
        <v>#REF!</v>
      </c>
      <c r="FD25" t="e">
        <f>AND(#REF!,"AAAAAHfX/58=")</f>
        <v>#REF!</v>
      </c>
      <c r="FE25" t="e">
        <f>AND(#REF!,"AAAAAHfX/6A=")</f>
        <v>#REF!</v>
      </c>
      <c r="FF25" t="e">
        <f>AND(#REF!,"AAAAAHfX/6E=")</f>
        <v>#REF!</v>
      </c>
      <c r="FG25" t="e">
        <f>AND(#REF!,"AAAAAHfX/6I=")</f>
        <v>#REF!</v>
      </c>
      <c r="FH25" t="e">
        <f>AND(#REF!,"AAAAAHfX/6M=")</f>
        <v>#REF!</v>
      </c>
      <c r="FI25" t="e">
        <f>AND(#REF!,"AAAAAHfX/6Q=")</f>
        <v>#REF!</v>
      </c>
      <c r="FJ25" t="e">
        <f>AND(#REF!,"AAAAAHfX/6U=")</f>
        <v>#REF!</v>
      </c>
      <c r="FK25" t="e">
        <f>AND(#REF!,"AAAAAHfX/6Y=")</f>
        <v>#REF!</v>
      </c>
      <c r="FL25" t="e">
        <f>AND(#REF!,"AAAAAHfX/6c=")</f>
        <v>#REF!</v>
      </c>
      <c r="FM25" t="e">
        <f>AND(#REF!,"AAAAAHfX/6g=")</f>
        <v>#REF!</v>
      </c>
      <c r="FN25" t="e">
        <f>AND(#REF!,"AAAAAHfX/6k=")</f>
        <v>#REF!</v>
      </c>
      <c r="FO25" t="e">
        <f>IF(#REF!,"AAAAAHfX/6o=",0)</f>
        <v>#REF!</v>
      </c>
      <c r="FP25" t="e">
        <f>AND(#REF!,"AAAAAHfX/6s=")</f>
        <v>#REF!</v>
      </c>
      <c r="FQ25" t="e">
        <f>AND(#REF!,"AAAAAHfX/6w=")</f>
        <v>#REF!</v>
      </c>
      <c r="FR25" t="e">
        <f>AND(#REF!,"AAAAAHfX/60=")</f>
        <v>#REF!</v>
      </c>
      <c r="FS25" t="e">
        <f>AND(#REF!,"AAAAAHfX/64=")</f>
        <v>#REF!</v>
      </c>
      <c r="FT25" t="e">
        <f>AND(#REF!,"AAAAAHfX/68=")</f>
        <v>#REF!</v>
      </c>
      <c r="FU25" t="e">
        <f>AND(#REF!,"AAAAAHfX/7A=")</f>
        <v>#REF!</v>
      </c>
      <c r="FV25" t="e">
        <f>AND(#REF!,"AAAAAHfX/7E=")</f>
        <v>#REF!</v>
      </c>
      <c r="FW25" t="e">
        <f>AND(#REF!,"AAAAAHfX/7I=")</f>
        <v>#REF!</v>
      </c>
      <c r="FX25" t="e">
        <f>AND(#REF!,"AAAAAHfX/7M=")</f>
        <v>#REF!</v>
      </c>
      <c r="FY25" t="e">
        <f>AND(#REF!,"AAAAAHfX/7Q=")</f>
        <v>#REF!</v>
      </c>
      <c r="FZ25" t="e">
        <f>AND(#REF!,"AAAAAHfX/7U=")</f>
        <v>#REF!</v>
      </c>
      <c r="GA25" t="e">
        <f>AND(#REF!,"AAAAAHfX/7Y=")</f>
        <v>#REF!</v>
      </c>
      <c r="GB25" t="e">
        <f>AND(#REF!,"AAAAAHfX/7c=")</f>
        <v>#REF!</v>
      </c>
      <c r="GC25" t="e">
        <f>AND(#REF!,"AAAAAHfX/7g=")</f>
        <v>#REF!</v>
      </c>
      <c r="GD25" t="e">
        <f>AND(#REF!,"AAAAAHfX/7k=")</f>
        <v>#REF!</v>
      </c>
      <c r="GE25" t="e">
        <f>AND(#REF!,"AAAAAHfX/7o=")</f>
        <v>#REF!</v>
      </c>
      <c r="GF25" t="e">
        <f>AND(#REF!,"AAAAAHfX/7s=")</f>
        <v>#REF!</v>
      </c>
      <c r="GG25" t="e">
        <f>AND(#REF!,"AAAAAHfX/7w=")</f>
        <v>#REF!</v>
      </c>
      <c r="GH25" t="e">
        <f>AND(#REF!,"AAAAAHfX/70=")</f>
        <v>#REF!</v>
      </c>
      <c r="GI25" t="e">
        <f>AND(#REF!,"AAAAAHfX/74=")</f>
        <v>#REF!</v>
      </c>
      <c r="GJ25" t="e">
        <f>AND(#REF!,"AAAAAHfX/78=")</f>
        <v>#REF!</v>
      </c>
      <c r="GK25" t="e">
        <f>AND(#REF!,"AAAAAHfX/8A=")</f>
        <v>#REF!</v>
      </c>
      <c r="GL25" t="e">
        <f>AND(#REF!,"AAAAAHfX/8E=")</f>
        <v>#REF!</v>
      </c>
      <c r="GM25" t="e">
        <f>AND(#REF!,"AAAAAHfX/8I=")</f>
        <v>#REF!</v>
      </c>
      <c r="GN25" t="e">
        <f>AND(#REF!,"AAAAAHfX/8M=")</f>
        <v>#REF!</v>
      </c>
      <c r="GO25" t="e">
        <f>AND(#REF!,"AAAAAHfX/8Q=")</f>
        <v>#REF!</v>
      </c>
      <c r="GP25" t="e">
        <f>IF(#REF!,"AAAAAHfX/8U=",0)</f>
        <v>#REF!</v>
      </c>
      <c r="GQ25" t="e">
        <f>AND(#REF!,"AAAAAHfX/8Y=")</f>
        <v>#REF!</v>
      </c>
      <c r="GR25" t="e">
        <f>AND(#REF!,"AAAAAHfX/8c=")</f>
        <v>#REF!</v>
      </c>
      <c r="GS25" t="e">
        <f>AND(#REF!,"AAAAAHfX/8g=")</f>
        <v>#REF!</v>
      </c>
      <c r="GT25" t="e">
        <f>AND(#REF!,"AAAAAHfX/8k=")</f>
        <v>#REF!</v>
      </c>
      <c r="GU25" t="e">
        <f>AND(#REF!,"AAAAAHfX/8o=")</f>
        <v>#REF!</v>
      </c>
      <c r="GV25" t="e">
        <f>AND(#REF!,"AAAAAHfX/8s=")</f>
        <v>#REF!</v>
      </c>
      <c r="GW25" t="e">
        <f>AND(#REF!,"AAAAAHfX/8w=")</f>
        <v>#REF!</v>
      </c>
      <c r="GX25" t="e">
        <f>AND(#REF!,"AAAAAHfX/80=")</f>
        <v>#REF!</v>
      </c>
      <c r="GY25" t="e">
        <f>AND(#REF!,"AAAAAHfX/84=")</f>
        <v>#REF!</v>
      </c>
      <c r="GZ25" t="e">
        <f>AND(#REF!,"AAAAAHfX/88=")</f>
        <v>#REF!</v>
      </c>
      <c r="HA25" t="e">
        <f>AND(#REF!,"AAAAAHfX/9A=")</f>
        <v>#REF!</v>
      </c>
      <c r="HB25" t="e">
        <f>AND(#REF!,"AAAAAHfX/9E=")</f>
        <v>#REF!</v>
      </c>
      <c r="HC25" t="e">
        <f>AND(#REF!,"AAAAAHfX/9I=")</f>
        <v>#REF!</v>
      </c>
      <c r="HD25" t="e">
        <f>AND(#REF!,"AAAAAHfX/9M=")</f>
        <v>#REF!</v>
      </c>
      <c r="HE25" t="e">
        <f>AND(#REF!,"AAAAAHfX/9Q=")</f>
        <v>#REF!</v>
      </c>
      <c r="HF25" t="e">
        <f>AND(#REF!,"AAAAAHfX/9U=")</f>
        <v>#REF!</v>
      </c>
      <c r="HG25" t="e">
        <f>AND(#REF!,"AAAAAHfX/9Y=")</f>
        <v>#REF!</v>
      </c>
      <c r="HH25" t="e">
        <f>AND(#REF!,"AAAAAHfX/9c=")</f>
        <v>#REF!</v>
      </c>
      <c r="HI25" t="e">
        <f>AND(#REF!,"AAAAAHfX/9g=")</f>
        <v>#REF!</v>
      </c>
      <c r="HJ25" t="e">
        <f>AND(#REF!,"AAAAAHfX/9k=")</f>
        <v>#REF!</v>
      </c>
      <c r="HK25" t="e">
        <f>AND(#REF!,"AAAAAHfX/9o=")</f>
        <v>#REF!</v>
      </c>
      <c r="HL25" t="e">
        <f>AND(#REF!,"AAAAAHfX/9s=")</f>
        <v>#REF!</v>
      </c>
      <c r="HM25" t="e">
        <f>AND(#REF!,"AAAAAHfX/9w=")</f>
        <v>#REF!</v>
      </c>
      <c r="HN25" t="e">
        <f>AND(#REF!,"AAAAAHfX/90=")</f>
        <v>#REF!</v>
      </c>
      <c r="HO25" t="e">
        <f>AND(#REF!,"AAAAAHfX/94=")</f>
        <v>#REF!</v>
      </c>
      <c r="HP25" t="e">
        <f>AND(#REF!,"AAAAAHfX/98=")</f>
        <v>#REF!</v>
      </c>
      <c r="HQ25" t="e">
        <f>IF(#REF!,"AAAAAHfX/+A=",0)</f>
        <v>#REF!</v>
      </c>
      <c r="HR25" t="e">
        <f>AND(#REF!,"AAAAAHfX/+E=")</f>
        <v>#REF!</v>
      </c>
      <c r="HS25" t="e">
        <f>AND(#REF!,"AAAAAHfX/+I=")</f>
        <v>#REF!</v>
      </c>
      <c r="HT25" t="e">
        <f>AND(#REF!,"AAAAAHfX/+M=")</f>
        <v>#REF!</v>
      </c>
      <c r="HU25" t="e">
        <f>AND(#REF!,"AAAAAHfX/+Q=")</f>
        <v>#REF!</v>
      </c>
      <c r="HV25" t="e">
        <f>AND(#REF!,"AAAAAHfX/+U=")</f>
        <v>#REF!</v>
      </c>
      <c r="HW25" t="e">
        <f>AND(#REF!,"AAAAAHfX/+Y=")</f>
        <v>#REF!</v>
      </c>
      <c r="HX25" t="e">
        <f>AND(#REF!,"AAAAAHfX/+c=")</f>
        <v>#REF!</v>
      </c>
      <c r="HY25" t="e">
        <f>AND(#REF!,"AAAAAHfX/+g=")</f>
        <v>#REF!</v>
      </c>
      <c r="HZ25" t="e">
        <f>AND(#REF!,"AAAAAHfX/+k=")</f>
        <v>#REF!</v>
      </c>
      <c r="IA25" t="e">
        <f>AND(#REF!,"AAAAAHfX/+o=")</f>
        <v>#REF!</v>
      </c>
      <c r="IB25" t="e">
        <f>AND(#REF!,"AAAAAHfX/+s=")</f>
        <v>#REF!</v>
      </c>
      <c r="IC25" t="e">
        <f>AND(#REF!,"AAAAAHfX/+w=")</f>
        <v>#REF!</v>
      </c>
      <c r="ID25" t="e">
        <f>AND(#REF!,"AAAAAHfX/+0=")</f>
        <v>#REF!</v>
      </c>
      <c r="IE25" t="e">
        <f>AND(#REF!,"AAAAAHfX/+4=")</f>
        <v>#REF!</v>
      </c>
      <c r="IF25" t="e">
        <f>AND(#REF!,"AAAAAHfX/+8=")</f>
        <v>#REF!</v>
      </c>
      <c r="IG25" t="e">
        <f>AND(#REF!,"AAAAAHfX//A=")</f>
        <v>#REF!</v>
      </c>
      <c r="IH25" t="e">
        <f>AND(#REF!,"AAAAAHfX//E=")</f>
        <v>#REF!</v>
      </c>
      <c r="II25" t="e">
        <f>AND(#REF!,"AAAAAHfX//I=")</f>
        <v>#REF!</v>
      </c>
      <c r="IJ25" t="e">
        <f>AND(#REF!,"AAAAAHfX//M=")</f>
        <v>#REF!</v>
      </c>
      <c r="IK25" t="e">
        <f>AND(#REF!,"AAAAAHfX//Q=")</f>
        <v>#REF!</v>
      </c>
      <c r="IL25" t="e">
        <f>AND(#REF!,"AAAAAHfX//U=")</f>
        <v>#REF!</v>
      </c>
      <c r="IM25" t="e">
        <f>AND(#REF!,"AAAAAHfX//Y=")</f>
        <v>#REF!</v>
      </c>
      <c r="IN25" t="e">
        <f>AND(#REF!,"AAAAAHfX//c=")</f>
        <v>#REF!</v>
      </c>
      <c r="IO25" t="e">
        <f>AND(#REF!,"AAAAAHfX//g=")</f>
        <v>#REF!</v>
      </c>
      <c r="IP25" t="e">
        <f>AND(#REF!,"AAAAAHfX//k=")</f>
        <v>#REF!</v>
      </c>
      <c r="IQ25" t="e">
        <f>AND(#REF!,"AAAAAHfX//o=")</f>
        <v>#REF!</v>
      </c>
      <c r="IR25" t="e">
        <f>IF(#REF!,"AAAAAHfX//s=",0)</f>
        <v>#REF!</v>
      </c>
      <c r="IS25" t="e">
        <f>AND(#REF!,"AAAAAHfX//w=")</f>
        <v>#REF!</v>
      </c>
      <c r="IT25" t="e">
        <f>AND(#REF!,"AAAAAHfX//0=")</f>
        <v>#REF!</v>
      </c>
      <c r="IU25" t="e">
        <f>AND(#REF!,"AAAAAHfX//4=")</f>
        <v>#REF!</v>
      </c>
      <c r="IV25" t="e">
        <f>AND(#REF!,"AAAAAHfX//8=")</f>
        <v>#REF!</v>
      </c>
    </row>
    <row r="26" spans="1:256" x14ac:dyDescent="0.2">
      <c r="A26" t="e">
        <f>AND(#REF!,"AAAAAF97fQA=")</f>
        <v>#REF!</v>
      </c>
      <c r="B26" t="e">
        <f>AND(#REF!,"AAAAAF97fQE=")</f>
        <v>#REF!</v>
      </c>
      <c r="C26" t="e">
        <f>AND(#REF!,"AAAAAF97fQI=")</f>
        <v>#REF!</v>
      </c>
      <c r="D26" t="e">
        <f>AND(#REF!,"AAAAAF97fQM=")</f>
        <v>#REF!</v>
      </c>
      <c r="E26" t="e">
        <f>AND(#REF!,"AAAAAF97fQQ=")</f>
        <v>#REF!</v>
      </c>
      <c r="F26" t="e">
        <f>AND(#REF!,"AAAAAF97fQU=")</f>
        <v>#REF!</v>
      </c>
      <c r="G26" t="e">
        <f>AND(#REF!,"AAAAAF97fQY=")</f>
        <v>#REF!</v>
      </c>
      <c r="H26" t="e">
        <f>AND(#REF!,"AAAAAF97fQc=")</f>
        <v>#REF!</v>
      </c>
      <c r="I26" t="e">
        <f>AND(#REF!,"AAAAAF97fQg=")</f>
        <v>#REF!</v>
      </c>
      <c r="J26" t="e">
        <f>AND(#REF!,"AAAAAF97fQk=")</f>
        <v>#REF!</v>
      </c>
      <c r="K26" t="e">
        <f>AND(#REF!,"AAAAAF97fQo=")</f>
        <v>#REF!</v>
      </c>
      <c r="L26" t="e">
        <f>AND(#REF!,"AAAAAF97fQs=")</f>
        <v>#REF!</v>
      </c>
      <c r="M26" t="e">
        <f>AND(#REF!,"AAAAAF97fQw=")</f>
        <v>#REF!</v>
      </c>
      <c r="N26" t="e">
        <f>AND(#REF!,"AAAAAF97fQ0=")</f>
        <v>#REF!</v>
      </c>
      <c r="O26" t="e">
        <f>AND(#REF!,"AAAAAF97fQ4=")</f>
        <v>#REF!</v>
      </c>
      <c r="P26" t="e">
        <f>AND(#REF!,"AAAAAF97fQ8=")</f>
        <v>#REF!</v>
      </c>
      <c r="Q26" t="e">
        <f>AND(#REF!,"AAAAAF97fRA=")</f>
        <v>#REF!</v>
      </c>
      <c r="R26" t="e">
        <f>AND(#REF!,"AAAAAF97fRE=")</f>
        <v>#REF!</v>
      </c>
      <c r="S26" t="e">
        <f>AND(#REF!,"AAAAAF97fRI=")</f>
        <v>#REF!</v>
      </c>
      <c r="T26" t="e">
        <f>AND(#REF!,"AAAAAF97fRM=")</f>
        <v>#REF!</v>
      </c>
      <c r="U26" t="e">
        <f>AND(#REF!,"AAAAAF97fRQ=")</f>
        <v>#REF!</v>
      </c>
      <c r="V26" t="e">
        <f>AND(#REF!,"AAAAAF97fRU=")</f>
        <v>#REF!</v>
      </c>
      <c r="W26" t="e">
        <f>IF(#REF!,"AAAAAF97fRY=",0)</f>
        <v>#REF!</v>
      </c>
      <c r="X26" t="e">
        <f>AND(#REF!,"AAAAAF97fRc=")</f>
        <v>#REF!</v>
      </c>
      <c r="Y26" t="e">
        <f>AND(#REF!,"AAAAAF97fRg=")</f>
        <v>#REF!</v>
      </c>
      <c r="Z26" t="e">
        <f>AND(#REF!,"AAAAAF97fRk=")</f>
        <v>#REF!</v>
      </c>
      <c r="AA26" t="e">
        <f>AND(#REF!,"AAAAAF97fRo=")</f>
        <v>#REF!</v>
      </c>
      <c r="AB26" t="e">
        <f>AND(#REF!,"AAAAAF97fRs=")</f>
        <v>#REF!</v>
      </c>
      <c r="AC26" t="e">
        <f>AND(#REF!,"AAAAAF97fRw=")</f>
        <v>#REF!</v>
      </c>
      <c r="AD26" t="e">
        <f>AND(#REF!,"AAAAAF97fR0=")</f>
        <v>#REF!</v>
      </c>
      <c r="AE26" t="e">
        <f>AND(#REF!,"AAAAAF97fR4=")</f>
        <v>#REF!</v>
      </c>
      <c r="AF26" t="e">
        <f>AND(#REF!,"AAAAAF97fR8=")</f>
        <v>#REF!</v>
      </c>
      <c r="AG26" t="e">
        <f>AND(#REF!,"AAAAAF97fSA=")</f>
        <v>#REF!</v>
      </c>
      <c r="AH26" t="e">
        <f>AND(#REF!,"AAAAAF97fSE=")</f>
        <v>#REF!</v>
      </c>
      <c r="AI26" t="e">
        <f>AND(#REF!,"AAAAAF97fSI=")</f>
        <v>#REF!</v>
      </c>
      <c r="AJ26" t="e">
        <f>AND(#REF!,"AAAAAF97fSM=")</f>
        <v>#REF!</v>
      </c>
      <c r="AK26" t="e">
        <f>AND(#REF!,"AAAAAF97fSQ=")</f>
        <v>#REF!</v>
      </c>
      <c r="AL26" t="e">
        <f>AND(#REF!,"AAAAAF97fSU=")</f>
        <v>#REF!</v>
      </c>
      <c r="AM26" t="e">
        <f>AND(#REF!,"AAAAAF97fSY=")</f>
        <v>#REF!</v>
      </c>
      <c r="AN26" t="e">
        <f>AND(#REF!,"AAAAAF97fSc=")</f>
        <v>#REF!</v>
      </c>
      <c r="AO26" t="e">
        <f>AND(#REF!,"AAAAAF97fSg=")</f>
        <v>#REF!</v>
      </c>
      <c r="AP26" t="e">
        <f>AND(#REF!,"AAAAAF97fSk=")</f>
        <v>#REF!</v>
      </c>
      <c r="AQ26" t="e">
        <f>AND(#REF!,"AAAAAF97fSo=")</f>
        <v>#REF!</v>
      </c>
      <c r="AR26" t="e">
        <f>AND(#REF!,"AAAAAF97fSs=")</f>
        <v>#REF!</v>
      </c>
      <c r="AS26" t="e">
        <f>AND(#REF!,"AAAAAF97fSw=")</f>
        <v>#REF!</v>
      </c>
      <c r="AT26" t="e">
        <f>AND(#REF!,"AAAAAF97fS0=")</f>
        <v>#REF!</v>
      </c>
      <c r="AU26" t="e">
        <f>AND(#REF!,"AAAAAF97fS4=")</f>
        <v>#REF!</v>
      </c>
      <c r="AV26" t="e">
        <f>AND(#REF!,"AAAAAF97fS8=")</f>
        <v>#REF!</v>
      </c>
      <c r="AW26" t="e">
        <f>AND(#REF!,"AAAAAF97fTA=")</f>
        <v>#REF!</v>
      </c>
      <c r="AX26" t="e">
        <f>IF(#REF!,"AAAAAF97fTE=",0)</f>
        <v>#REF!</v>
      </c>
      <c r="AY26" t="e">
        <f>AND(#REF!,"AAAAAF97fTI=")</f>
        <v>#REF!</v>
      </c>
      <c r="AZ26" t="e">
        <f>AND(#REF!,"AAAAAF97fTM=")</f>
        <v>#REF!</v>
      </c>
      <c r="BA26" t="e">
        <f>AND(#REF!,"AAAAAF97fTQ=")</f>
        <v>#REF!</v>
      </c>
      <c r="BB26" t="e">
        <f>AND(#REF!,"AAAAAF97fTU=")</f>
        <v>#REF!</v>
      </c>
      <c r="BC26" t="e">
        <f>AND(#REF!,"AAAAAF97fTY=")</f>
        <v>#REF!</v>
      </c>
      <c r="BD26" t="e">
        <f>AND(#REF!,"AAAAAF97fTc=")</f>
        <v>#REF!</v>
      </c>
      <c r="BE26" t="e">
        <f>AND(#REF!,"AAAAAF97fTg=")</f>
        <v>#REF!</v>
      </c>
      <c r="BF26" t="e">
        <f>AND(#REF!,"AAAAAF97fTk=")</f>
        <v>#REF!</v>
      </c>
      <c r="BG26" t="e">
        <f>AND(#REF!,"AAAAAF97fTo=")</f>
        <v>#REF!</v>
      </c>
      <c r="BH26" t="e">
        <f>AND(#REF!,"AAAAAF97fTs=")</f>
        <v>#REF!</v>
      </c>
      <c r="BI26" t="e">
        <f>AND(#REF!,"AAAAAF97fTw=")</f>
        <v>#REF!</v>
      </c>
      <c r="BJ26" t="e">
        <f>AND(#REF!,"AAAAAF97fT0=")</f>
        <v>#REF!</v>
      </c>
      <c r="BK26" t="e">
        <f>AND(#REF!,"AAAAAF97fT4=")</f>
        <v>#REF!</v>
      </c>
      <c r="BL26" t="e">
        <f>AND(#REF!,"AAAAAF97fT8=")</f>
        <v>#REF!</v>
      </c>
      <c r="BM26" t="e">
        <f>AND(#REF!,"AAAAAF97fUA=")</f>
        <v>#REF!</v>
      </c>
      <c r="BN26" t="e">
        <f>AND(#REF!,"AAAAAF97fUE=")</f>
        <v>#REF!</v>
      </c>
      <c r="BO26" t="e">
        <f>AND(#REF!,"AAAAAF97fUI=")</f>
        <v>#REF!</v>
      </c>
      <c r="BP26" t="e">
        <f>AND(#REF!,"AAAAAF97fUM=")</f>
        <v>#REF!</v>
      </c>
      <c r="BQ26" t="e">
        <f>AND(#REF!,"AAAAAF97fUQ=")</f>
        <v>#REF!</v>
      </c>
      <c r="BR26" t="e">
        <f>AND(#REF!,"AAAAAF97fUU=")</f>
        <v>#REF!</v>
      </c>
      <c r="BS26" t="e">
        <f>AND(#REF!,"AAAAAF97fUY=")</f>
        <v>#REF!</v>
      </c>
      <c r="BT26" t="e">
        <f>AND(#REF!,"AAAAAF97fUc=")</f>
        <v>#REF!</v>
      </c>
      <c r="BU26" t="e">
        <f>AND(#REF!,"AAAAAF97fUg=")</f>
        <v>#REF!</v>
      </c>
      <c r="BV26" t="e">
        <f>AND(#REF!,"AAAAAF97fUk=")</f>
        <v>#REF!</v>
      </c>
      <c r="BW26" t="e">
        <f>AND(#REF!,"AAAAAF97fUo=")</f>
        <v>#REF!</v>
      </c>
      <c r="BX26" t="e">
        <f>AND(#REF!,"AAAAAF97fUs=")</f>
        <v>#REF!</v>
      </c>
      <c r="BY26" t="e">
        <f>IF(#REF!,"AAAAAF97fUw=",0)</f>
        <v>#REF!</v>
      </c>
      <c r="BZ26" t="e">
        <f>AND(#REF!,"AAAAAF97fU0=")</f>
        <v>#REF!</v>
      </c>
      <c r="CA26" t="e">
        <f>AND(#REF!,"AAAAAF97fU4=")</f>
        <v>#REF!</v>
      </c>
      <c r="CB26" t="e">
        <f>AND(#REF!,"AAAAAF97fU8=")</f>
        <v>#REF!</v>
      </c>
      <c r="CC26" t="e">
        <f>AND(#REF!,"AAAAAF97fVA=")</f>
        <v>#REF!</v>
      </c>
      <c r="CD26" t="e">
        <f>AND(#REF!,"AAAAAF97fVE=")</f>
        <v>#REF!</v>
      </c>
      <c r="CE26" t="e">
        <f>AND(#REF!,"AAAAAF97fVI=")</f>
        <v>#REF!</v>
      </c>
      <c r="CF26" t="e">
        <f>AND(#REF!,"AAAAAF97fVM=")</f>
        <v>#REF!</v>
      </c>
      <c r="CG26" t="e">
        <f>AND(#REF!,"AAAAAF97fVQ=")</f>
        <v>#REF!</v>
      </c>
      <c r="CH26" t="e">
        <f>AND(#REF!,"AAAAAF97fVU=")</f>
        <v>#REF!</v>
      </c>
      <c r="CI26" t="e">
        <f>AND(#REF!,"AAAAAF97fVY=")</f>
        <v>#REF!</v>
      </c>
      <c r="CJ26" t="e">
        <f>AND(#REF!,"AAAAAF97fVc=")</f>
        <v>#REF!</v>
      </c>
      <c r="CK26" t="e">
        <f>AND(#REF!,"AAAAAF97fVg=")</f>
        <v>#REF!</v>
      </c>
      <c r="CL26" t="e">
        <f>AND(#REF!,"AAAAAF97fVk=")</f>
        <v>#REF!</v>
      </c>
      <c r="CM26" t="e">
        <f>AND(#REF!,"AAAAAF97fVo=")</f>
        <v>#REF!</v>
      </c>
      <c r="CN26" t="e">
        <f>AND(#REF!,"AAAAAF97fVs=")</f>
        <v>#REF!</v>
      </c>
      <c r="CO26" t="e">
        <f>AND(#REF!,"AAAAAF97fVw=")</f>
        <v>#REF!</v>
      </c>
      <c r="CP26" t="e">
        <f>AND(#REF!,"AAAAAF97fV0=")</f>
        <v>#REF!</v>
      </c>
      <c r="CQ26" t="e">
        <f>AND(#REF!,"AAAAAF97fV4=")</f>
        <v>#REF!</v>
      </c>
      <c r="CR26" t="e">
        <f>AND(#REF!,"AAAAAF97fV8=")</f>
        <v>#REF!</v>
      </c>
      <c r="CS26" t="e">
        <f>AND(#REF!,"AAAAAF97fWA=")</f>
        <v>#REF!</v>
      </c>
      <c r="CT26" t="e">
        <f>AND(#REF!,"AAAAAF97fWE=")</f>
        <v>#REF!</v>
      </c>
      <c r="CU26" t="e">
        <f>AND(#REF!,"AAAAAF97fWI=")</f>
        <v>#REF!</v>
      </c>
      <c r="CV26" t="e">
        <f>AND(#REF!,"AAAAAF97fWM=")</f>
        <v>#REF!</v>
      </c>
      <c r="CW26" t="e">
        <f>AND(#REF!,"AAAAAF97fWQ=")</f>
        <v>#REF!</v>
      </c>
      <c r="CX26" t="e">
        <f>AND(#REF!,"AAAAAF97fWU=")</f>
        <v>#REF!</v>
      </c>
      <c r="CY26" t="e">
        <f>AND(#REF!,"AAAAAF97fWY=")</f>
        <v>#REF!</v>
      </c>
      <c r="CZ26" t="e">
        <f>IF(#REF!,"AAAAAF97fWc=",0)</f>
        <v>#REF!</v>
      </c>
      <c r="DA26" t="e">
        <f>AND(#REF!,"AAAAAF97fWg=")</f>
        <v>#REF!</v>
      </c>
      <c r="DB26" t="e">
        <f>AND(#REF!,"AAAAAF97fWk=")</f>
        <v>#REF!</v>
      </c>
      <c r="DC26" t="e">
        <f>AND(#REF!,"AAAAAF97fWo=")</f>
        <v>#REF!</v>
      </c>
      <c r="DD26" t="e">
        <f>AND(#REF!,"AAAAAF97fWs=")</f>
        <v>#REF!</v>
      </c>
      <c r="DE26" t="e">
        <f>AND(#REF!,"AAAAAF97fWw=")</f>
        <v>#REF!</v>
      </c>
      <c r="DF26" t="e">
        <f>AND(#REF!,"AAAAAF97fW0=")</f>
        <v>#REF!</v>
      </c>
      <c r="DG26" t="e">
        <f>AND(#REF!,"AAAAAF97fW4=")</f>
        <v>#REF!</v>
      </c>
      <c r="DH26" t="e">
        <f>AND(#REF!,"AAAAAF97fW8=")</f>
        <v>#REF!</v>
      </c>
      <c r="DI26" t="e">
        <f>AND(#REF!,"AAAAAF97fXA=")</f>
        <v>#REF!</v>
      </c>
      <c r="DJ26" t="e">
        <f>AND(#REF!,"AAAAAF97fXE=")</f>
        <v>#REF!</v>
      </c>
      <c r="DK26" t="e">
        <f>AND(#REF!,"AAAAAF97fXI=")</f>
        <v>#REF!</v>
      </c>
      <c r="DL26" t="e">
        <f>AND(#REF!,"AAAAAF97fXM=")</f>
        <v>#REF!</v>
      </c>
      <c r="DM26" t="e">
        <f>AND(#REF!,"AAAAAF97fXQ=")</f>
        <v>#REF!</v>
      </c>
      <c r="DN26" t="e">
        <f>AND(#REF!,"AAAAAF97fXU=")</f>
        <v>#REF!</v>
      </c>
      <c r="DO26" t="e">
        <f>AND(#REF!,"AAAAAF97fXY=")</f>
        <v>#REF!</v>
      </c>
      <c r="DP26" t="e">
        <f>AND(#REF!,"AAAAAF97fXc=")</f>
        <v>#REF!</v>
      </c>
      <c r="DQ26" t="e">
        <f>AND(#REF!,"AAAAAF97fXg=")</f>
        <v>#REF!</v>
      </c>
      <c r="DR26" t="e">
        <f>AND(#REF!,"AAAAAF97fXk=")</f>
        <v>#REF!</v>
      </c>
      <c r="DS26" t="e">
        <f>AND(#REF!,"AAAAAF97fXo=")</f>
        <v>#REF!</v>
      </c>
      <c r="DT26" t="e">
        <f>AND(#REF!,"AAAAAF97fXs=")</f>
        <v>#REF!</v>
      </c>
      <c r="DU26" t="e">
        <f>AND(#REF!,"AAAAAF97fXw=")</f>
        <v>#REF!</v>
      </c>
      <c r="DV26" t="e">
        <f>AND(#REF!,"AAAAAF97fX0=")</f>
        <v>#REF!</v>
      </c>
      <c r="DW26" t="e">
        <f>AND(#REF!,"AAAAAF97fX4=")</f>
        <v>#REF!</v>
      </c>
      <c r="DX26" t="e">
        <f>AND(#REF!,"AAAAAF97fX8=")</f>
        <v>#REF!</v>
      </c>
      <c r="DY26" t="e">
        <f>AND(#REF!,"AAAAAF97fYA=")</f>
        <v>#REF!</v>
      </c>
      <c r="DZ26" t="e">
        <f>AND(#REF!,"AAAAAF97fYE=")</f>
        <v>#REF!</v>
      </c>
      <c r="EA26" t="e">
        <f>IF(#REF!,"AAAAAF97fYI=",0)</f>
        <v>#REF!</v>
      </c>
      <c r="EB26" t="e">
        <f>AND(#REF!,"AAAAAF97fYM=")</f>
        <v>#REF!</v>
      </c>
      <c r="EC26" t="e">
        <f>AND(#REF!,"AAAAAF97fYQ=")</f>
        <v>#REF!</v>
      </c>
      <c r="ED26" t="e">
        <f>AND(#REF!,"AAAAAF97fYU=")</f>
        <v>#REF!</v>
      </c>
      <c r="EE26" t="e">
        <f>AND(#REF!,"AAAAAF97fYY=")</f>
        <v>#REF!</v>
      </c>
      <c r="EF26" t="e">
        <f>AND(#REF!,"AAAAAF97fYc=")</f>
        <v>#REF!</v>
      </c>
      <c r="EG26" t="e">
        <f>AND(#REF!,"AAAAAF97fYg=")</f>
        <v>#REF!</v>
      </c>
      <c r="EH26" t="e">
        <f>AND(#REF!,"AAAAAF97fYk=")</f>
        <v>#REF!</v>
      </c>
      <c r="EI26" t="e">
        <f>AND(#REF!,"AAAAAF97fYo=")</f>
        <v>#REF!</v>
      </c>
      <c r="EJ26" t="e">
        <f>AND(#REF!,"AAAAAF97fYs=")</f>
        <v>#REF!</v>
      </c>
      <c r="EK26" t="e">
        <f>AND(#REF!,"AAAAAF97fYw=")</f>
        <v>#REF!</v>
      </c>
      <c r="EL26" t="e">
        <f>AND(#REF!,"AAAAAF97fY0=")</f>
        <v>#REF!</v>
      </c>
      <c r="EM26" t="e">
        <f>AND(#REF!,"AAAAAF97fY4=")</f>
        <v>#REF!</v>
      </c>
      <c r="EN26" t="e">
        <f>AND(#REF!,"AAAAAF97fY8=")</f>
        <v>#REF!</v>
      </c>
      <c r="EO26" t="e">
        <f>AND(#REF!,"AAAAAF97fZA=")</f>
        <v>#REF!</v>
      </c>
      <c r="EP26" t="e">
        <f>AND(#REF!,"AAAAAF97fZE=")</f>
        <v>#REF!</v>
      </c>
      <c r="EQ26" t="e">
        <f>AND(#REF!,"AAAAAF97fZI=")</f>
        <v>#REF!</v>
      </c>
      <c r="ER26" t="e">
        <f>AND(#REF!,"AAAAAF97fZM=")</f>
        <v>#REF!</v>
      </c>
      <c r="ES26" t="e">
        <f>AND(#REF!,"AAAAAF97fZQ=")</f>
        <v>#REF!</v>
      </c>
      <c r="ET26" t="e">
        <f>AND(#REF!,"AAAAAF97fZU=")</f>
        <v>#REF!</v>
      </c>
      <c r="EU26" t="e">
        <f>AND(#REF!,"AAAAAF97fZY=")</f>
        <v>#REF!</v>
      </c>
      <c r="EV26" t="e">
        <f>AND(#REF!,"AAAAAF97fZc=")</f>
        <v>#REF!</v>
      </c>
      <c r="EW26" t="e">
        <f>AND(#REF!,"AAAAAF97fZg=")</f>
        <v>#REF!</v>
      </c>
      <c r="EX26" t="e">
        <f>AND(#REF!,"AAAAAF97fZk=")</f>
        <v>#REF!</v>
      </c>
      <c r="EY26" t="e">
        <f>AND(#REF!,"AAAAAF97fZo=")</f>
        <v>#REF!</v>
      </c>
      <c r="EZ26" t="e">
        <f>AND(#REF!,"AAAAAF97fZs=")</f>
        <v>#REF!</v>
      </c>
      <c r="FA26" t="e">
        <f>AND(#REF!,"AAAAAF97fZw=")</f>
        <v>#REF!</v>
      </c>
      <c r="FB26" t="e">
        <f>IF(#REF!,"AAAAAF97fZ0=",0)</f>
        <v>#REF!</v>
      </c>
      <c r="FC26" t="e">
        <f>AND(#REF!,"AAAAAF97fZ4=")</f>
        <v>#REF!</v>
      </c>
      <c r="FD26" t="e">
        <f>AND(#REF!,"AAAAAF97fZ8=")</f>
        <v>#REF!</v>
      </c>
      <c r="FE26" t="e">
        <f>AND(#REF!,"AAAAAF97faA=")</f>
        <v>#REF!</v>
      </c>
      <c r="FF26" t="e">
        <f>AND(#REF!,"AAAAAF97faE=")</f>
        <v>#REF!</v>
      </c>
      <c r="FG26" t="e">
        <f>AND(#REF!,"AAAAAF97faI=")</f>
        <v>#REF!</v>
      </c>
      <c r="FH26" t="e">
        <f>AND(#REF!,"AAAAAF97faM=")</f>
        <v>#REF!</v>
      </c>
      <c r="FI26" t="e">
        <f>AND(#REF!,"AAAAAF97faQ=")</f>
        <v>#REF!</v>
      </c>
      <c r="FJ26" t="e">
        <f>AND(#REF!,"AAAAAF97faU=")</f>
        <v>#REF!</v>
      </c>
      <c r="FK26" t="e">
        <f>AND(#REF!,"AAAAAF97faY=")</f>
        <v>#REF!</v>
      </c>
      <c r="FL26" t="e">
        <f>AND(#REF!,"AAAAAF97fac=")</f>
        <v>#REF!</v>
      </c>
      <c r="FM26" t="e">
        <f>AND(#REF!,"AAAAAF97fag=")</f>
        <v>#REF!</v>
      </c>
      <c r="FN26" t="e">
        <f>AND(#REF!,"AAAAAF97fak=")</f>
        <v>#REF!</v>
      </c>
      <c r="FO26" t="e">
        <f>AND(#REF!,"AAAAAF97fao=")</f>
        <v>#REF!</v>
      </c>
      <c r="FP26" t="e">
        <f>AND(#REF!,"AAAAAF97fas=")</f>
        <v>#REF!</v>
      </c>
      <c r="FQ26" t="e">
        <f>AND(#REF!,"AAAAAF97faw=")</f>
        <v>#REF!</v>
      </c>
      <c r="FR26" t="e">
        <f>AND(#REF!,"AAAAAF97fa0=")</f>
        <v>#REF!</v>
      </c>
      <c r="FS26" t="e">
        <f>AND(#REF!,"AAAAAF97fa4=")</f>
        <v>#REF!</v>
      </c>
      <c r="FT26" t="e">
        <f>AND(#REF!,"AAAAAF97fa8=")</f>
        <v>#REF!</v>
      </c>
      <c r="FU26" t="e">
        <f>AND(#REF!,"AAAAAF97fbA=")</f>
        <v>#REF!</v>
      </c>
      <c r="FV26" t="e">
        <f>AND(#REF!,"AAAAAF97fbE=")</f>
        <v>#REF!</v>
      </c>
      <c r="FW26" t="e">
        <f>AND(#REF!,"AAAAAF97fbI=")</f>
        <v>#REF!</v>
      </c>
      <c r="FX26" t="e">
        <f>AND(#REF!,"AAAAAF97fbM=")</f>
        <v>#REF!</v>
      </c>
      <c r="FY26" t="e">
        <f>AND(#REF!,"AAAAAF97fbQ=")</f>
        <v>#REF!</v>
      </c>
      <c r="FZ26" t="e">
        <f>AND(#REF!,"AAAAAF97fbU=")</f>
        <v>#REF!</v>
      </c>
      <c r="GA26" t="e">
        <f>AND(#REF!,"AAAAAF97fbY=")</f>
        <v>#REF!</v>
      </c>
      <c r="GB26" t="e">
        <f>AND(#REF!,"AAAAAF97fbc=")</f>
        <v>#REF!</v>
      </c>
      <c r="GC26" t="e">
        <f>IF(#REF!,"AAAAAF97fbg=",0)</f>
        <v>#REF!</v>
      </c>
      <c r="GD26" t="e">
        <f>AND(#REF!,"AAAAAF97fbk=")</f>
        <v>#REF!</v>
      </c>
      <c r="GE26" t="e">
        <f>AND(#REF!,"AAAAAF97fbo=")</f>
        <v>#REF!</v>
      </c>
      <c r="GF26" t="e">
        <f>AND(#REF!,"AAAAAF97fbs=")</f>
        <v>#REF!</v>
      </c>
      <c r="GG26" t="e">
        <f>AND(#REF!,"AAAAAF97fbw=")</f>
        <v>#REF!</v>
      </c>
      <c r="GH26" t="e">
        <f>AND(#REF!,"AAAAAF97fb0=")</f>
        <v>#REF!</v>
      </c>
      <c r="GI26" t="e">
        <f>AND(#REF!,"AAAAAF97fb4=")</f>
        <v>#REF!</v>
      </c>
      <c r="GJ26" t="e">
        <f>AND(#REF!,"AAAAAF97fb8=")</f>
        <v>#REF!</v>
      </c>
      <c r="GK26" t="e">
        <f>AND(#REF!,"AAAAAF97fcA=")</f>
        <v>#REF!</v>
      </c>
      <c r="GL26" t="e">
        <f>AND(#REF!,"AAAAAF97fcE=")</f>
        <v>#REF!</v>
      </c>
      <c r="GM26" t="e">
        <f>AND(#REF!,"AAAAAF97fcI=")</f>
        <v>#REF!</v>
      </c>
      <c r="GN26" t="e">
        <f>AND(#REF!,"AAAAAF97fcM=")</f>
        <v>#REF!</v>
      </c>
      <c r="GO26" t="e">
        <f>AND(#REF!,"AAAAAF97fcQ=")</f>
        <v>#REF!</v>
      </c>
      <c r="GP26" t="e">
        <f>AND(#REF!,"AAAAAF97fcU=")</f>
        <v>#REF!</v>
      </c>
      <c r="GQ26" t="e">
        <f>AND(#REF!,"AAAAAF97fcY=")</f>
        <v>#REF!</v>
      </c>
      <c r="GR26" t="e">
        <f>AND(#REF!,"AAAAAF97fcc=")</f>
        <v>#REF!</v>
      </c>
      <c r="GS26" t="e">
        <f>AND(#REF!,"AAAAAF97fcg=")</f>
        <v>#REF!</v>
      </c>
      <c r="GT26" t="e">
        <f>AND(#REF!,"AAAAAF97fck=")</f>
        <v>#REF!</v>
      </c>
      <c r="GU26" t="e">
        <f>AND(#REF!,"AAAAAF97fco=")</f>
        <v>#REF!</v>
      </c>
      <c r="GV26" t="e">
        <f>AND(#REF!,"AAAAAF97fcs=")</f>
        <v>#REF!</v>
      </c>
      <c r="GW26" t="e">
        <f>AND(#REF!,"AAAAAF97fcw=")</f>
        <v>#REF!</v>
      </c>
      <c r="GX26" t="e">
        <f>AND(#REF!,"AAAAAF97fc0=")</f>
        <v>#REF!</v>
      </c>
      <c r="GY26" t="e">
        <f>AND(#REF!,"AAAAAF97fc4=")</f>
        <v>#REF!</v>
      </c>
      <c r="GZ26" t="e">
        <f>AND(#REF!,"AAAAAF97fc8=")</f>
        <v>#REF!</v>
      </c>
      <c r="HA26" t="e">
        <f>AND(#REF!,"AAAAAF97fdA=")</f>
        <v>#REF!</v>
      </c>
      <c r="HB26" t="e">
        <f>AND(#REF!,"AAAAAF97fdE=")</f>
        <v>#REF!</v>
      </c>
      <c r="HC26" t="e">
        <f>AND(#REF!,"AAAAAF97fdI=")</f>
        <v>#REF!</v>
      </c>
      <c r="HD26" t="e">
        <f>IF(#REF!,"AAAAAF97fdM=",0)</f>
        <v>#REF!</v>
      </c>
      <c r="HE26" t="e">
        <f>AND(#REF!,"AAAAAF97fdQ=")</f>
        <v>#REF!</v>
      </c>
      <c r="HF26" t="e">
        <f>AND(#REF!,"AAAAAF97fdU=")</f>
        <v>#REF!</v>
      </c>
      <c r="HG26" t="e">
        <f>AND(#REF!,"AAAAAF97fdY=")</f>
        <v>#REF!</v>
      </c>
      <c r="HH26" t="e">
        <f>AND(#REF!,"AAAAAF97fdc=")</f>
        <v>#REF!</v>
      </c>
      <c r="HI26" t="e">
        <f>AND(#REF!,"AAAAAF97fdg=")</f>
        <v>#REF!</v>
      </c>
      <c r="HJ26" t="e">
        <f>AND(#REF!,"AAAAAF97fdk=")</f>
        <v>#REF!</v>
      </c>
      <c r="HK26" t="e">
        <f>AND(#REF!,"AAAAAF97fdo=")</f>
        <v>#REF!</v>
      </c>
      <c r="HL26" t="e">
        <f>AND(#REF!,"AAAAAF97fds=")</f>
        <v>#REF!</v>
      </c>
      <c r="HM26" t="e">
        <f>AND(#REF!,"AAAAAF97fdw=")</f>
        <v>#REF!</v>
      </c>
      <c r="HN26" t="e">
        <f>AND(#REF!,"AAAAAF97fd0=")</f>
        <v>#REF!</v>
      </c>
      <c r="HO26" t="e">
        <f>AND(#REF!,"AAAAAF97fd4=")</f>
        <v>#REF!</v>
      </c>
      <c r="HP26" t="e">
        <f>AND(#REF!,"AAAAAF97fd8=")</f>
        <v>#REF!</v>
      </c>
      <c r="HQ26" t="e">
        <f>AND(#REF!,"AAAAAF97feA=")</f>
        <v>#REF!</v>
      </c>
      <c r="HR26" t="e">
        <f>AND(#REF!,"AAAAAF97feE=")</f>
        <v>#REF!</v>
      </c>
      <c r="HS26" t="e">
        <f>AND(#REF!,"AAAAAF97feI=")</f>
        <v>#REF!</v>
      </c>
      <c r="HT26" t="e">
        <f>AND(#REF!,"AAAAAF97feM=")</f>
        <v>#REF!</v>
      </c>
      <c r="HU26" t="e">
        <f>AND(#REF!,"AAAAAF97feQ=")</f>
        <v>#REF!</v>
      </c>
      <c r="HV26" t="e">
        <f>AND(#REF!,"AAAAAF97feU=")</f>
        <v>#REF!</v>
      </c>
      <c r="HW26" t="e">
        <f>AND(#REF!,"AAAAAF97feY=")</f>
        <v>#REF!</v>
      </c>
      <c r="HX26" t="e">
        <f>AND(#REF!,"AAAAAF97fec=")</f>
        <v>#REF!</v>
      </c>
      <c r="HY26" t="e">
        <f>AND(#REF!,"AAAAAF97feg=")</f>
        <v>#REF!</v>
      </c>
      <c r="HZ26" t="e">
        <f>AND(#REF!,"AAAAAF97fek=")</f>
        <v>#REF!</v>
      </c>
      <c r="IA26" t="e">
        <f>AND(#REF!,"AAAAAF97feo=")</f>
        <v>#REF!</v>
      </c>
      <c r="IB26" t="e">
        <f>AND(#REF!,"AAAAAF97fes=")</f>
        <v>#REF!</v>
      </c>
      <c r="IC26" t="e">
        <f>AND(#REF!,"AAAAAF97few=")</f>
        <v>#REF!</v>
      </c>
      <c r="ID26" t="e">
        <f>AND(#REF!,"AAAAAF97fe0=")</f>
        <v>#REF!</v>
      </c>
      <c r="IE26" t="e">
        <f>IF(#REF!,"AAAAAF97fe4=",0)</f>
        <v>#REF!</v>
      </c>
      <c r="IF26" t="e">
        <f>AND(#REF!,"AAAAAF97fe8=")</f>
        <v>#REF!</v>
      </c>
      <c r="IG26" t="e">
        <f>AND(#REF!,"AAAAAF97ffA=")</f>
        <v>#REF!</v>
      </c>
      <c r="IH26" t="e">
        <f>AND(#REF!,"AAAAAF97ffE=")</f>
        <v>#REF!</v>
      </c>
      <c r="II26" t="e">
        <f>AND(#REF!,"AAAAAF97ffI=")</f>
        <v>#REF!</v>
      </c>
      <c r="IJ26" t="e">
        <f>AND(#REF!,"AAAAAF97ffM=")</f>
        <v>#REF!</v>
      </c>
      <c r="IK26" t="e">
        <f>AND(#REF!,"AAAAAF97ffQ=")</f>
        <v>#REF!</v>
      </c>
      <c r="IL26" t="e">
        <f>AND(#REF!,"AAAAAF97ffU=")</f>
        <v>#REF!</v>
      </c>
      <c r="IM26" t="e">
        <f>AND(#REF!,"AAAAAF97ffY=")</f>
        <v>#REF!</v>
      </c>
      <c r="IN26" t="e">
        <f>AND(#REF!,"AAAAAF97ffc=")</f>
        <v>#REF!</v>
      </c>
      <c r="IO26" t="e">
        <f>AND(#REF!,"AAAAAF97ffg=")</f>
        <v>#REF!</v>
      </c>
      <c r="IP26" t="e">
        <f>AND(#REF!,"AAAAAF97ffk=")</f>
        <v>#REF!</v>
      </c>
      <c r="IQ26" t="e">
        <f>AND(#REF!,"AAAAAF97ffo=")</f>
        <v>#REF!</v>
      </c>
      <c r="IR26" t="e">
        <f>AND(#REF!,"AAAAAF97ffs=")</f>
        <v>#REF!</v>
      </c>
      <c r="IS26" t="e">
        <f>AND(#REF!,"AAAAAF97ffw=")</f>
        <v>#REF!</v>
      </c>
      <c r="IT26" t="e">
        <f>AND(#REF!,"AAAAAF97ff0=")</f>
        <v>#REF!</v>
      </c>
      <c r="IU26" t="e">
        <f>AND(#REF!,"AAAAAF97ff4=")</f>
        <v>#REF!</v>
      </c>
      <c r="IV26" t="e">
        <f>AND(#REF!,"AAAAAF97ff8=")</f>
        <v>#REF!</v>
      </c>
    </row>
    <row r="27" spans="1:256" x14ac:dyDescent="0.2">
      <c r="A27" t="e">
        <f>AND(#REF!,"AAAAAHvS/wA=")</f>
        <v>#REF!</v>
      </c>
      <c r="B27" t="e">
        <f>AND(#REF!,"AAAAAHvS/wE=")</f>
        <v>#REF!</v>
      </c>
      <c r="C27" t="e">
        <f>AND(#REF!,"AAAAAHvS/wI=")</f>
        <v>#REF!</v>
      </c>
      <c r="D27" t="e">
        <f>AND(#REF!,"AAAAAHvS/wM=")</f>
        <v>#REF!</v>
      </c>
      <c r="E27" t="e">
        <f>AND(#REF!,"AAAAAHvS/wQ=")</f>
        <v>#REF!</v>
      </c>
      <c r="F27" t="e">
        <f>AND(#REF!,"AAAAAHvS/wU=")</f>
        <v>#REF!</v>
      </c>
      <c r="G27" t="e">
        <f>AND(#REF!,"AAAAAHvS/wY=")</f>
        <v>#REF!</v>
      </c>
      <c r="H27" t="e">
        <f>AND(#REF!,"AAAAAHvS/wc=")</f>
        <v>#REF!</v>
      </c>
      <c r="I27" t="e">
        <f>AND(#REF!,"AAAAAHvS/wg=")</f>
        <v>#REF!</v>
      </c>
      <c r="J27" t="e">
        <f>IF(#REF!,"AAAAAHvS/wk=",0)</f>
        <v>#REF!</v>
      </c>
      <c r="K27" t="e">
        <f>AND(#REF!,"AAAAAHvS/wo=")</f>
        <v>#REF!</v>
      </c>
      <c r="L27" t="e">
        <f>AND(#REF!,"AAAAAHvS/ws=")</f>
        <v>#REF!</v>
      </c>
      <c r="M27" t="e">
        <f>AND(#REF!,"AAAAAHvS/ww=")</f>
        <v>#REF!</v>
      </c>
      <c r="N27" t="e">
        <f>AND(#REF!,"AAAAAHvS/w0=")</f>
        <v>#REF!</v>
      </c>
      <c r="O27" t="e">
        <f>AND(#REF!,"AAAAAHvS/w4=")</f>
        <v>#REF!</v>
      </c>
      <c r="P27" t="e">
        <f>AND(#REF!,"AAAAAHvS/w8=")</f>
        <v>#REF!</v>
      </c>
      <c r="Q27" t="e">
        <f>AND(#REF!,"AAAAAHvS/xA=")</f>
        <v>#REF!</v>
      </c>
      <c r="R27" t="e">
        <f>AND(#REF!,"AAAAAHvS/xE=")</f>
        <v>#REF!</v>
      </c>
      <c r="S27" t="e">
        <f>AND(#REF!,"AAAAAHvS/xI=")</f>
        <v>#REF!</v>
      </c>
      <c r="T27" t="e">
        <f>AND(#REF!,"AAAAAHvS/xM=")</f>
        <v>#REF!</v>
      </c>
      <c r="U27" t="e">
        <f>AND(#REF!,"AAAAAHvS/xQ=")</f>
        <v>#REF!</v>
      </c>
      <c r="V27" t="e">
        <f>AND(#REF!,"AAAAAHvS/xU=")</f>
        <v>#REF!</v>
      </c>
      <c r="W27" t="e">
        <f>AND(#REF!,"AAAAAHvS/xY=")</f>
        <v>#REF!</v>
      </c>
      <c r="X27" t="e">
        <f>AND(#REF!,"AAAAAHvS/xc=")</f>
        <v>#REF!</v>
      </c>
      <c r="Y27" t="e">
        <f>AND(#REF!,"AAAAAHvS/xg=")</f>
        <v>#REF!</v>
      </c>
      <c r="Z27" t="e">
        <f>AND(#REF!,"AAAAAHvS/xk=")</f>
        <v>#REF!</v>
      </c>
      <c r="AA27" t="e">
        <f>AND(#REF!,"AAAAAHvS/xo=")</f>
        <v>#REF!</v>
      </c>
      <c r="AB27" t="e">
        <f>AND(#REF!,"AAAAAHvS/xs=")</f>
        <v>#REF!</v>
      </c>
      <c r="AC27" t="e">
        <f>AND(#REF!,"AAAAAHvS/xw=")</f>
        <v>#REF!</v>
      </c>
      <c r="AD27" t="e">
        <f>AND(#REF!,"AAAAAHvS/x0=")</f>
        <v>#REF!</v>
      </c>
      <c r="AE27" t="e">
        <f>AND(#REF!,"AAAAAHvS/x4=")</f>
        <v>#REF!</v>
      </c>
      <c r="AF27" t="e">
        <f>AND(#REF!,"AAAAAHvS/x8=")</f>
        <v>#REF!</v>
      </c>
      <c r="AG27" t="e">
        <f>AND(#REF!,"AAAAAHvS/yA=")</f>
        <v>#REF!</v>
      </c>
      <c r="AH27" t="e">
        <f>AND(#REF!,"AAAAAHvS/yE=")</f>
        <v>#REF!</v>
      </c>
      <c r="AI27" t="e">
        <f>AND(#REF!,"AAAAAHvS/yI=")</f>
        <v>#REF!</v>
      </c>
      <c r="AJ27" t="e">
        <f>AND(#REF!,"AAAAAHvS/yM=")</f>
        <v>#REF!</v>
      </c>
      <c r="AK27" t="e">
        <f>IF(#REF!,"AAAAAHvS/yQ=",0)</f>
        <v>#REF!</v>
      </c>
      <c r="AL27" t="e">
        <f>AND(#REF!,"AAAAAHvS/yU=")</f>
        <v>#REF!</v>
      </c>
      <c r="AM27" t="e">
        <f>AND(#REF!,"AAAAAHvS/yY=")</f>
        <v>#REF!</v>
      </c>
      <c r="AN27" t="e">
        <f>AND(#REF!,"AAAAAHvS/yc=")</f>
        <v>#REF!</v>
      </c>
      <c r="AO27" t="e">
        <f>AND(#REF!,"AAAAAHvS/yg=")</f>
        <v>#REF!</v>
      </c>
      <c r="AP27" t="e">
        <f>AND(#REF!,"AAAAAHvS/yk=")</f>
        <v>#REF!</v>
      </c>
      <c r="AQ27" t="e">
        <f>AND(#REF!,"AAAAAHvS/yo=")</f>
        <v>#REF!</v>
      </c>
      <c r="AR27" t="e">
        <f>AND(#REF!,"AAAAAHvS/ys=")</f>
        <v>#REF!</v>
      </c>
      <c r="AS27" t="e">
        <f>AND(#REF!,"AAAAAHvS/yw=")</f>
        <v>#REF!</v>
      </c>
      <c r="AT27" t="e">
        <f>AND(#REF!,"AAAAAHvS/y0=")</f>
        <v>#REF!</v>
      </c>
      <c r="AU27" t="e">
        <f>AND(#REF!,"AAAAAHvS/y4=")</f>
        <v>#REF!</v>
      </c>
      <c r="AV27" t="e">
        <f>AND(#REF!,"AAAAAHvS/y8=")</f>
        <v>#REF!</v>
      </c>
      <c r="AW27" t="e">
        <f>AND(#REF!,"AAAAAHvS/zA=")</f>
        <v>#REF!</v>
      </c>
      <c r="AX27" t="e">
        <f>AND(#REF!,"AAAAAHvS/zE=")</f>
        <v>#REF!</v>
      </c>
      <c r="AY27" t="e">
        <f>AND(#REF!,"AAAAAHvS/zI=")</f>
        <v>#REF!</v>
      </c>
      <c r="AZ27" t="e">
        <f>AND(#REF!,"AAAAAHvS/zM=")</f>
        <v>#REF!</v>
      </c>
      <c r="BA27" t="e">
        <f>AND(#REF!,"AAAAAHvS/zQ=")</f>
        <v>#REF!</v>
      </c>
      <c r="BB27" t="e">
        <f>AND(#REF!,"AAAAAHvS/zU=")</f>
        <v>#REF!</v>
      </c>
      <c r="BC27" t="e">
        <f>AND(#REF!,"AAAAAHvS/zY=")</f>
        <v>#REF!</v>
      </c>
      <c r="BD27" t="e">
        <f>AND(#REF!,"AAAAAHvS/zc=")</f>
        <v>#REF!</v>
      </c>
      <c r="BE27" t="e">
        <f>AND(#REF!,"AAAAAHvS/zg=")</f>
        <v>#REF!</v>
      </c>
      <c r="BF27" t="e">
        <f>AND(#REF!,"AAAAAHvS/zk=")</f>
        <v>#REF!</v>
      </c>
      <c r="BG27" t="e">
        <f>AND(#REF!,"AAAAAHvS/zo=")</f>
        <v>#REF!</v>
      </c>
      <c r="BH27" t="e">
        <f>AND(#REF!,"AAAAAHvS/zs=")</f>
        <v>#REF!</v>
      </c>
      <c r="BI27" t="e">
        <f>AND(#REF!,"AAAAAHvS/zw=")</f>
        <v>#REF!</v>
      </c>
      <c r="BJ27" t="e">
        <f>AND(#REF!,"AAAAAHvS/z0=")</f>
        <v>#REF!</v>
      </c>
      <c r="BK27" t="e">
        <f>AND(#REF!,"AAAAAHvS/z4=")</f>
        <v>#REF!</v>
      </c>
      <c r="BL27" t="e">
        <f>IF(#REF!,"AAAAAHvS/z8=",0)</f>
        <v>#REF!</v>
      </c>
      <c r="BM27" t="e">
        <f>AND(#REF!,"AAAAAHvS/0A=")</f>
        <v>#REF!</v>
      </c>
      <c r="BN27" t="e">
        <f>AND(#REF!,"AAAAAHvS/0E=")</f>
        <v>#REF!</v>
      </c>
      <c r="BO27" t="e">
        <f>AND(#REF!,"AAAAAHvS/0I=")</f>
        <v>#REF!</v>
      </c>
      <c r="BP27" t="e">
        <f>AND(#REF!,"AAAAAHvS/0M=")</f>
        <v>#REF!</v>
      </c>
      <c r="BQ27" t="e">
        <f>AND(#REF!,"AAAAAHvS/0Q=")</f>
        <v>#REF!</v>
      </c>
      <c r="BR27" t="e">
        <f>AND(#REF!,"AAAAAHvS/0U=")</f>
        <v>#REF!</v>
      </c>
      <c r="BS27" t="e">
        <f>AND(#REF!,"AAAAAHvS/0Y=")</f>
        <v>#REF!</v>
      </c>
      <c r="BT27" t="e">
        <f>AND(#REF!,"AAAAAHvS/0c=")</f>
        <v>#REF!</v>
      </c>
      <c r="BU27" t="e">
        <f>AND(#REF!,"AAAAAHvS/0g=")</f>
        <v>#REF!</v>
      </c>
      <c r="BV27" t="e">
        <f>AND(#REF!,"AAAAAHvS/0k=")</f>
        <v>#REF!</v>
      </c>
      <c r="BW27" t="e">
        <f>AND(#REF!,"AAAAAHvS/0o=")</f>
        <v>#REF!</v>
      </c>
      <c r="BX27" t="e">
        <f>AND(#REF!,"AAAAAHvS/0s=")</f>
        <v>#REF!</v>
      </c>
      <c r="BY27" t="e">
        <f>AND(#REF!,"AAAAAHvS/0w=")</f>
        <v>#REF!</v>
      </c>
      <c r="BZ27" t="e">
        <f>AND(#REF!,"AAAAAHvS/00=")</f>
        <v>#REF!</v>
      </c>
      <c r="CA27" t="e">
        <f>AND(#REF!,"AAAAAHvS/04=")</f>
        <v>#REF!</v>
      </c>
      <c r="CB27" t="e">
        <f>AND(#REF!,"AAAAAHvS/08=")</f>
        <v>#REF!</v>
      </c>
      <c r="CC27" t="e">
        <f>AND(#REF!,"AAAAAHvS/1A=")</f>
        <v>#REF!</v>
      </c>
      <c r="CD27" t="e">
        <f>AND(#REF!,"AAAAAHvS/1E=")</f>
        <v>#REF!</v>
      </c>
      <c r="CE27" t="e">
        <f>AND(#REF!,"AAAAAHvS/1I=")</f>
        <v>#REF!</v>
      </c>
      <c r="CF27" t="e">
        <f>AND(#REF!,"AAAAAHvS/1M=")</f>
        <v>#REF!</v>
      </c>
      <c r="CG27" t="e">
        <f>AND(#REF!,"AAAAAHvS/1Q=")</f>
        <v>#REF!</v>
      </c>
      <c r="CH27" t="e">
        <f>AND(#REF!,"AAAAAHvS/1U=")</f>
        <v>#REF!</v>
      </c>
      <c r="CI27" t="e">
        <f>AND(#REF!,"AAAAAHvS/1Y=")</f>
        <v>#REF!</v>
      </c>
      <c r="CJ27" t="e">
        <f>AND(#REF!,"AAAAAHvS/1c=")</f>
        <v>#REF!</v>
      </c>
      <c r="CK27" t="e">
        <f>AND(#REF!,"AAAAAHvS/1g=")</f>
        <v>#REF!</v>
      </c>
      <c r="CL27" t="e">
        <f>AND(#REF!,"AAAAAHvS/1k=")</f>
        <v>#REF!</v>
      </c>
      <c r="CM27" t="e">
        <f>IF(#REF!,"AAAAAHvS/1o=",0)</f>
        <v>#REF!</v>
      </c>
      <c r="CN27" t="e">
        <f>AND(#REF!,"AAAAAHvS/1s=")</f>
        <v>#REF!</v>
      </c>
      <c r="CO27" t="e">
        <f>AND(#REF!,"AAAAAHvS/1w=")</f>
        <v>#REF!</v>
      </c>
      <c r="CP27" t="e">
        <f>AND(#REF!,"AAAAAHvS/10=")</f>
        <v>#REF!</v>
      </c>
      <c r="CQ27" t="e">
        <f>AND(#REF!,"AAAAAHvS/14=")</f>
        <v>#REF!</v>
      </c>
      <c r="CR27" t="e">
        <f>AND(#REF!,"AAAAAHvS/18=")</f>
        <v>#REF!</v>
      </c>
      <c r="CS27" t="e">
        <f>AND(#REF!,"AAAAAHvS/2A=")</f>
        <v>#REF!</v>
      </c>
      <c r="CT27" t="e">
        <f>AND(#REF!,"AAAAAHvS/2E=")</f>
        <v>#REF!</v>
      </c>
      <c r="CU27" t="e">
        <f>AND(#REF!,"AAAAAHvS/2I=")</f>
        <v>#REF!</v>
      </c>
      <c r="CV27" t="e">
        <f>AND(#REF!,"AAAAAHvS/2M=")</f>
        <v>#REF!</v>
      </c>
      <c r="CW27" t="e">
        <f>AND(#REF!,"AAAAAHvS/2Q=")</f>
        <v>#REF!</v>
      </c>
      <c r="CX27" t="e">
        <f>AND(#REF!,"AAAAAHvS/2U=")</f>
        <v>#REF!</v>
      </c>
      <c r="CY27" t="e">
        <f>AND(#REF!,"AAAAAHvS/2Y=")</f>
        <v>#REF!</v>
      </c>
      <c r="CZ27" t="e">
        <f>AND(#REF!,"AAAAAHvS/2c=")</f>
        <v>#REF!</v>
      </c>
      <c r="DA27" t="e">
        <f>AND(#REF!,"AAAAAHvS/2g=")</f>
        <v>#REF!</v>
      </c>
      <c r="DB27" t="e">
        <f>AND(#REF!,"AAAAAHvS/2k=")</f>
        <v>#REF!</v>
      </c>
      <c r="DC27" t="e">
        <f>AND(#REF!,"AAAAAHvS/2o=")</f>
        <v>#REF!</v>
      </c>
      <c r="DD27" t="e">
        <f>AND(#REF!,"AAAAAHvS/2s=")</f>
        <v>#REF!</v>
      </c>
      <c r="DE27" t="e">
        <f>AND(#REF!,"AAAAAHvS/2w=")</f>
        <v>#REF!</v>
      </c>
      <c r="DF27" t="e">
        <f>AND(#REF!,"AAAAAHvS/20=")</f>
        <v>#REF!</v>
      </c>
      <c r="DG27" t="e">
        <f>AND(#REF!,"AAAAAHvS/24=")</f>
        <v>#REF!</v>
      </c>
      <c r="DH27" t="e">
        <f>AND(#REF!,"AAAAAHvS/28=")</f>
        <v>#REF!</v>
      </c>
      <c r="DI27" t="e">
        <f>AND(#REF!,"AAAAAHvS/3A=")</f>
        <v>#REF!</v>
      </c>
      <c r="DJ27" t="e">
        <f>AND(#REF!,"AAAAAHvS/3E=")</f>
        <v>#REF!</v>
      </c>
      <c r="DK27" t="e">
        <f>AND(#REF!,"AAAAAHvS/3I=")</f>
        <v>#REF!</v>
      </c>
      <c r="DL27" t="e">
        <f>AND(#REF!,"AAAAAHvS/3M=")</f>
        <v>#REF!</v>
      </c>
      <c r="DM27" t="e">
        <f>AND(#REF!,"AAAAAHvS/3Q=")</f>
        <v>#REF!</v>
      </c>
      <c r="DN27" t="e">
        <f>IF(#REF!,"AAAAAHvS/3U=",0)</f>
        <v>#REF!</v>
      </c>
      <c r="DO27" t="e">
        <f>AND(#REF!,"AAAAAHvS/3Y=")</f>
        <v>#REF!</v>
      </c>
      <c r="DP27" t="e">
        <f>AND(#REF!,"AAAAAHvS/3c=")</f>
        <v>#REF!</v>
      </c>
      <c r="DQ27" t="e">
        <f>AND(#REF!,"AAAAAHvS/3g=")</f>
        <v>#REF!</v>
      </c>
      <c r="DR27" t="e">
        <f>AND(#REF!,"AAAAAHvS/3k=")</f>
        <v>#REF!</v>
      </c>
      <c r="DS27" t="e">
        <f>AND(#REF!,"AAAAAHvS/3o=")</f>
        <v>#REF!</v>
      </c>
      <c r="DT27" t="e">
        <f>AND(#REF!,"AAAAAHvS/3s=")</f>
        <v>#REF!</v>
      </c>
      <c r="DU27" t="e">
        <f>AND(#REF!,"AAAAAHvS/3w=")</f>
        <v>#REF!</v>
      </c>
      <c r="DV27" t="e">
        <f>AND(#REF!,"AAAAAHvS/30=")</f>
        <v>#REF!</v>
      </c>
      <c r="DW27" t="e">
        <f>AND(#REF!,"AAAAAHvS/34=")</f>
        <v>#REF!</v>
      </c>
      <c r="DX27" t="e">
        <f>AND(#REF!,"AAAAAHvS/38=")</f>
        <v>#REF!</v>
      </c>
      <c r="DY27" t="e">
        <f>AND(#REF!,"AAAAAHvS/4A=")</f>
        <v>#REF!</v>
      </c>
      <c r="DZ27" t="e">
        <f>AND(#REF!,"AAAAAHvS/4E=")</f>
        <v>#REF!</v>
      </c>
      <c r="EA27" t="e">
        <f>AND(#REF!,"AAAAAHvS/4I=")</f>
        <v>#REF!</v>
      </c>
      <c r="EB27" t="e">
        <f>AND(#REF!,"AAAAAHvS/4M=")</f>
        <v>#REF!</v>
      </c>
      <c r="EC27" t="e">
        <f>AND(#REF!,"AAAAAHvS/4Q=")</f>
        <v>#REF!</v>
      </c>
      <c r="ED27" t="e">
        <f>AND(#REF!,"AAAAAHvS/4U=")</f>
        <v>#REF!</v>
      </c>
      <c r="EE27" t="e">
        <f>AND(#REF!,"AAAAAHvS/4Y=")</f>
        <v>#REF!</v>
      </c>
      <c r="EF27" t="e">
        <f>AND(#REF!,"AAAAAHvS/4c=")</f>
        <v>#REF!</v>
      </c>
      <c r="EG27" t="e">
        <f>AND(#REF!,"AAAAAHvS/4g=")</f>
        <v>#REF!</v>
      </c>
      <c r="EH27" t="e">
        <f>AND(#REF!,"AAAAAHvS/4k=")</f>
        <v>#REF!</v>
      </c>
      <c r="EI27" t="e">
        <f>AND(#REF!,"AAAAAHvS/4o=")</f>
        <v>#REF!</v>
      </c>
      <c r="EJ27" t="e">
        <f>AND(#REF!,"AAAAAHvS/4s=")</f>
        <v>#REF!</v>
      </c>
      <c r="EK27" t="e">
        <f>AND(#REF!,"AAAAAHvS/4w=")</f>
        <v>#REF!</v>
      </c>
      <c r="EL27" t="e">
        <f>AND(#REF!,"AAAAAHvS/40=")</f>
        <v>#REF!</v>
      </c>
      <c r="EM27" t="e">
        <f>AND(#REF!,"AAAAAHvS/44=")</f>
        <v>#REF!</v>
      </c>
      <c r="EN27" t="e">
        <f>AND(#REF!,"AAAAAHvS/48=")</f>
        <v>#REF!</v>
      </c>
      <c r="EO27" t="e">
        <f>IF(#REF!,"AAAAAHvS/5A=",0)</f>
        <v>#REF!</v>
      </c>
      <c r="EP27" t="e">
        <f>AND(#REF!,"AAAAAHvS/5E=")</f>
        <v>#REF!</v>
      </c>
      <c r="EQ27" t="e">
        <f>AND(#REF!,"AAAAAHvS/5I=")</f>
        <v>#REF!</v>
      </c>
      <c r="ER27" t="e">
        <f>AND(#REF!,"AAAAAHvS/5M=")</f>
        <v>#REF!</v>
      </c>
      <c r="ES27" t="e">
        <f>AND(#REF!,"AAAAAHvS/5Q=")</f>
        <v>#REF!</v>
      </c>
      <c r="ET27" t="e">
        <f>AND(#REF!,"AAAAAHvS/5U=")</f>
        <v>#REF!</v>
      </c>
      <c r="EU27" t="e">
        <f>AND(#REF!,"AAAAAHvS/5Y=")</f>
        <v>#REF!</v>
      </c>
      <c r="EV27" t="e">
        <f>AND(#REF!,"AAAAAHvS/5c=")</f>
        <v>#REF!</v>
      </c>
      <c r="EW27" t="e">
        <f>AND(#REF!,"AAAAAHvS/5g=")</f>
        <v>#REF!</v>
      </c>
      <c r="EX27" t="e">
        <f>AND(#REF!,"AAAAAHvS/5k=")</f>
        <v>#REF!</v>
      </c>
      <c r="EY27" t="e">
        <f>AND(#REF!,"AAAAAHvS/5o=")</f>
        <v>#REF!</v>
      </c>
      <c r="EZ27" t="e">
        <f>AND(#REF!,"AAAAAHvS/5s=")</f>
        <v>#REF!</v>
      </c>
      <c r="FA27" t="e">
        <f>AND(#REF!,"AAAAAHvS/5w=")</f>
        <v>#REF!</v>
      </c>
      <c r="FB27" t="e">
        <f>AND(#REF!,"AAAAAHvS/50=")</f>
        <v>#REF!</v>
      </c>
      <c r="FC27" t="e">
        <f>AND(#REF!,"AAAAAHvS/54=")</f>
        <v>#REF!</v>
      </c>
      <c r="FD27" t="e">
        <f>AND(#REF!,"AAAAAHvS/58=")</f>
        <v>#REF!</v>
      </c>
      <c r="FE27" t="e">
        <f>AND(#REF!,"AAAAAHvS/6A=")</f>
        <v>#REF!</v>
      </c>
      <c r="FF27" t="e">
        <f>AND(#REF!,"AAAAAHvS/6E=")</f>
        <v>#REF!</v>
      </c>
      <c r="FG27" t="e">
        <f>AND(#REF!,"AAAAAHvS/6I=")</f>
        <v>#REF!</v>
      </c>
      <c r="FH27" t="e">
        <f>AND(#REF!,"AAAAAHvS/6M=")</f>
        <v>#REF!</v>
      </c>
      <c r="FI27" t="e">
        <f>AND(#REF!,"AAAAAHvS/6Q=")</f>
        <v>#REF!</v>
      </c>
      <c r="FJ27" t="e">
        <f>AND(#REF!,"AAAAAHvS/6U=")</f>
        <v>#REF!</v>
      </c>
      <c r="FK27" t="e">
        <f>AND(#REF!,"AAAAAHvS/6Y=")</f>
        <v>#REF!</v>
      </c>
      <c r="FL27" t="e">
        <f>AND(#REF!,"AAAAAHvS/6c=")</f>
        <v>#REF!</v>
      </c>
      <c r="FM27" t="e">
        <f>AND(#REF!,"AAAAAHvS/6g=")</f>
        <v>#REF!</v>
      </c>
      <c r="FN27" t="e">
        <f>AND(#REF!,"AAAAAHvS/6k=")</f>
        <v>#REF!</v>
      </c>
      <c r="FO27" t="e">
        <f>AND(#REF!,"AAAAAHvS/6o=")</f>
        <v>#REF!</v>
      </c>
      <c r="FP27" t="e">
        <f>IF(#REF!,"AAAAAHvS/6s=",0)</f>
        <v>#REF!</v>
      </c>
      <c r="FQ27" t="e">
        <f>AND(#REF!,"AAAAAHvS/6w=")</f>
        <v>#REF!</v>
      </c>
      <c r="FR27" t="e">
        <f>AND(#REF!,"AAAAAHvS/60=")</f>
        <v>#REF!</v>
      </c>
      <c r="FS27" t="e">
        <f>AND(#REF!,"AAAAAHvS/64=")</f>
        <v>#REF!</v>
      </c>
      <c r="FT27" t="e">
        <f>AND(#REF!,"AAAAAHvS/68=")</f>
        <v>#REF!</v>
      </c>
      <c r="FU27" t="e">
        <f>AND(#REF!,"AAAAAHvS/7A=")</f>
        <v>#REF!</v>
      </c>
      <c r="FV27" t="e">
        <f>AND(#REF!,"AAAAAHvS/7E=")</f>
        <v>#REF!</v>
      </c>
      <c r="FW27" t="e">
        <f>AND(#REF!,"AAAAAHvS/7I=")</f>
        <v>#REF!</v>
      </c>
      <c r="FX27" t="e">
        <f>AND(#REF!,"AAAAAHvS/7M=")</f>
        <v>#REF!</v>
      </c>
      <c r="FY27" t="e">
        <f>AND(#REF!,"AAAAAHvS/7Q=")</f>
        <v>#REF!</v>
      </c>
      <c r="FZ27" t="e">
        <f>AND(#REF!,"AAAAAHvS/7U=")</f>
        <v>#REF!</v>
      </c>
      <c r="GA27" t="e">
        <f>AND(#REF!,"AAAAAHvS/7Y=")</f>
        <v>#REF!</v>
      </c>
      <c r="GB27" t="e">
        <f>AND(#REF!,"AAAAAHvS/7c=")</f>
        <v>#REF!</v>
      </c>
      <c r="GC27" t="e">
        <f>AND(#REF!,"AAAAAHvS/7g=")</f>
        <v>#REF!</v>
      </c>
      <c r="GD27" t="e">
        <f>AND(#REF!,"AAAAAHvS/7k=")</f>
        <v>#REF!</v>
      </c>
      <c r="GE27" t="e">
        <f>AND(#REF!,"AAAAAHvS/7o=")</f>
        <v>#REF!</v>
      </c>
      <c r="GF27" t="e">
        <f>AND(#REF!,"AAAAAHvS/7s=")</f>
        <v>#REF!</v>
      </c>
      <c r="GG27" t="e">
        <f>AND(#REF!,"AAAAAHvS/7w=")</f>
        <v>#REF!</v>
      </c>
      <c r="GH27" t="e">
        <f>AND(#REF!,"AAAAAHvS/70=")</f>
        <v>#REF!</v>
      </c>
      <c r="GI27" t="e">
        <f>AND(#REF!,"AAAAAHvS/74=")</f>
        <v>#REF!</v>
      </c>
      <c r="GJ27" t="e">
        <f>AND(#REF!,"AAAAAHvS/78=")</f>
        <v>#REF!</v>
      </c>
      <c r="GK27" t="e">
        <f>AND(#REF!,"AAAAAHvS/8A=")</f>
        <v>#REF!</v>
      </c>
      <c r="GL27" t="e">
        <f>AND(#REF!,"AAAAAHvS/8E=")</f>
        <v>#REF!</v>
      </c>
      <c r="GM27" t="e">
        <f>AND(#REF!,"AAAAAHvS/8I=")</f>
        <v>#REF!</v>
      </c>
      <c r="GN27" t="e">
        <f>AND(#REF!,"AAAAAHvS/8M=")</f>
        <v>#REF!</v>
      </c>
      <c r="GO27" t="e">
        <f>AND(#REF!,"AAAAAHvS/8Q=")</f>
        <v>#REF!</v>
      </c>
      <c r="GP27" t="e">
        <f>AND(#REF!,"AAAAAHvS/8U=")</f>
        <v>#REF!</v>
      </c>
      <c r="GQ27" t="e">
        <f>IF(#REF!,"AAAAAHvS/8Y=",0)</f>
        <v>#REF!</v>
      </c>
      <c r="GR27" t="e">
        <f>AND(#REF!,"AAAAAHvS/8c=")</f>
        <v>#REF!</v>
      </c>
      <c r="GS27" t="e">
        <f>AND(#REF!,"AAAAAHvS/8g=")</f>
        <v>#REF!</v>
      </c>
      <c r="GT27" t="e">
        <f>AND(#REF!,"AAAAAHvS/8k=")</f>
        <v>#REF!</v>
      </c>
      <c r="GU27" t="e">
        <f>AND(#REF!,"AAAAAHvS/8o=")</f>
        <v>#REF!</v>
      </c>
      <c r="GV27" t="e">
        <f>AND(#REF!,"AAAAAHvS/8s=")</f>
        <v>#REF!</v>
      </c>
      <c r="GW27" t="e">
        <f>AND(#REF!,"AAAAAHvS/8w=")</f>
        <v>#REF!</v>
      </c>
      <c r="GX27" t="e">
        <f>AND(#REF!,"AAAAAHvS/80=")</f>
        <v>#REF!</v>
      </c>
      <c r="GY27" t="e">
        <f>AND(#REF!,"AAAAAHvS/84=")</f>
        <v>#REF!</v>
      </c>
      <c r="GZ27" t="e">
        <f>AND(#REF!,"AAAAAHvS/88=")</f>
        <v>#REF!</v>
      </c>
      <c r="HA27" t="e">
        <f>AND(#REF!,"AAAAAHvS/9A=")</f>
        <v>#REF!</v>
      </c>
      <c r="HB27" t="e">
        <f>AND(#REF!,"AAAAAHvS/9E=")</f>
        <v>#REF!</v>
      </c>
      <c r="HC27" t="e">
        <f>AND(#REF!,"AAAAAHvS/9I=")</f>
        <v>#REF!</v>
      </c>
      <c r="HD27" t="e">
        <f>AND(#REF!,"AAAAAHvS/9M=")</f>
        <v>#REF!</v>
      </c>
      <c r="HE27" t="e">
        <f>AND(#REF!,"AAAAAHvS/9Q=")</f>
        <v>#REF!</v>
      </c>
      <c r="HF27" t="e">
        <f>AND(#REF!,"AAAAAHvS/9U=")</f>
        <v>#REF!</v>
      </c>
      <c r="HG27" t="e">
        <f>AND(#REF!,"AAAAAHvS/9Y=")</f>
        <v>#REF!</v>
      </c>
      <c r="HH27" t="e">
        <f>AND(#REF!,"AAAAAHvS/9c=")</f>
        <v>#REF!</v>
      </c>
      <c r="HI27" t="e">
        <f>AND(#REF!,"AAAAAHvS/9g=")</f>
        <v>#REF!</v>
      </c>
      <c r="HJ27" t="e">
        <f>AND(#REF!,"AAAAAHvS/9k=")</f>
        <v>#REF!</v>
      </c>
      <c r="HK27" t="e">
        <f>AND(#REF!,"AAAAAHvS/9o=")</f>
        <v>#REF!</v>
      </c>
      <c r="HL27" t="e">
        <f>AND(#REF!,"AAAAAHvS/9s=")</f>
        <v>#REF!</v>
      </c>
      <c r="HM27" t="e">
        <f>AND(#REF!,"AAAAAHvS/9w=")</f>
        <v>#REF!</v>
      </c>
      <c r="HN27" t="e">
        <f>AND(#REF!,"AAAAAHvS/90=")</f>
        <v>#REF!</v>
      </c>
      <c r="HO27" t="e">
        <f>AND(#REF!,"AAAAAHvS/94=")</f>
        <v>#REF!</v>
      </c>
      <c r="HP27" t="e">
        <f>AND(#REF!,"AAAAAHvS/98=")</f>
        <v>#REF!</v>
      </c>
      <c r="HQ27" t="e">
        <f>AND(#REF!,"AAAAAHvS/+A=")</f>
        <v>#REF!</v>
      </c>
      <c r="HR27" t="e">
        <f>IF(#REF!,"AAAAAHvS/+E=",0)</f>
        <v>#REF!</v>
      </c>
      <c r="HS27" t="e">
        <f>AND(#REF!,"AAAAAHvS/+I=")</f>
        <v>#REF!</v>
      </c>
      <c r="HT27" t="e">
        <f>AND(#REF!,"AAAAAHvS/+M=")</f>
        <v>#REF!</v>
      </c>
      <c r="HU27" t="e">
        <f>AND(#REF!,"AAAAAHvS/+Q=")</f>
        <v>#REF!</v>
      </c>
      <c r="HV27" t="e">
        <f>AND(#REF!,"AAAAAHvS/+U=")</f>
        <v>#REF!</v>
      </c>
      <c r="HW27" t="e">
        <f>AND(#REF!,"AAAAAHvS/+Y=")</f>
        <v>#REF!</v>
      </c>
      <c r="HX27" t="e">
        <f>AND(#REF!,"AAAAAHvS/+c=")</f>
        <v>#REF!</v>
      </c>
      <c r="HY27" t="e">
        <f>AND(#REF!,"AAAAAHvS/+g=")</f>
        <v>#REF!</v>
      </c>
      <c r="HZ27" t="e">
        <f>AND(#REF!,"AAAAAHvS/+k=")</f>
        <v>#REF!</v>
      </c>
      <c r="IA27" t="e">
        <f>AND(#REF!,"AAAAAHvS/+o=")</f>
        <v>#REF!</v>
      </c>
      <c r="IB27" t="e">
        <f>AND(#REF!,"AAAAAHvS/+s=")</f>
        <v>#REF!</v>
      </c>
      <c r="IC27" t="e">
        <f>AND(#REF!,"AAAAAHvS/+w=")</f>
        <v>#REF!</v>
      </c>
      <c r="ID27" t="e">
        <f>AND(#REF!,"AAAAAHvS/+0=")</f>
        <v>#REF!</v>
      </c>
      <c r="IE27" t="e">
        <f>AND(#REF!,"AAAAAHvS/+4=")</f>
        <v>#REF!</v>
      </c>
      <c r="IF27" t="e">
        <f>AND(#REF!,"AAAAAHvS/+8=")</f>
        <v>#REF!</v>
      </c>
      <c r="IG27" t="e">
        <f>AND(#REF!,"AAAAAHvS//A=")</f>
        <v>#REF!</v>
      </c>
      <c r="IH27" t="e">
        <f>AND(#REF!,"AAAAAHvS//E=")</f>
        <v>#REF!</v>
      </c>
      <c r="II27" t="e">
        <f>AND(#REF!,"AAAAAHvS//I=")</f>
        <v>#REF!</v>
      </c>
      <c r="IJ27" t="e">
        <f>AND(#REF!,"AAAAAHvS//M=")</f>
        <v>#REF!</v>
      </c>
      <c r="IK27" t="e">
        <f>AND(#REF!,"AAAAAHvS//Q=")</f>
        <v>#REF!</v>
      </c>
      <c r="IL27" t="e">
        <f>AND(#REF!,"AAAAAHvS//U=")</f>
        <v>#REF!</v>
      </c>
      <c r="IM27" t="e">
        <f>AND(#REF!,"AAAAAHvS//Y=")</f>
        <v>#REF!</v>
      </c>
      <c r="IN27" t="e">
        <f>AND(#REF!,"AAAAAHvS//c=")</f>
        <v>#REF!</v>
      </c>
      <c r="IO27" t="e">
        <f>AND(#REF!,"AAAAAHvS//g=")</f>
        <v>#REF!</v>
      </c>
      <c r="IP27" t="e">
        <f>AND(#REF!,"AAAAAHvS//k=")</f>
        <v>#REF!</v>
      </c>
      <c r="IQ27" t="e">
        <f>AND(#REF!,"AAAAAHvS//o=")</f>
        <v>#REF!</v>
      </c>
      <c r="IR27" t="e">
        <f>AND(#REF!,"AAAAAHvS//s=")</f>
        <v>#REF!</v>
      </c>
      <c r="IS27" t="e">
        <f>IF(#REF!,"AAAAAHvS//w=",0)</f>
        <v>#REF!</v>
      </c>
      <c r="IT27" t="e">
        <f>AND(#REF!,"AAAAAHvS//0=")</f>
        <v>#REF!</v>
      </c>
      <c r="IU27" t="e">
        <f>AND(#REF!,"AAAAAHvS//4=")</f>
        <v>#REF!</v>
      </c>
      <c r="IV27" t="e">
        <f>AND(#REF!,"AAAAAHvS//8=")</f>
        <v>#REF!</v>
      </c>
    </row>
    <row r="28" spans="1:256" x14ac:dyDescent="0.2">
      <c r="A28" t="e">
        <f>AND(#REF!,"AAAAADfv4QA=")</f>
        <v>#REF!</v>
      </c>
      <c r="B28" t="e">
        <f>AND(#REF!,"AAAAADfv4QE=")</f>
        <v>#REF!</v>
      </c>
      <c r="C28" t="e">
        <f>AND(#REF!,"AAAAADfv4QI=")</f>
        <v>#REF!</v>
      </c>
      <c r="D28" t="e">
        <f>AND(#REF!,"AAAAADfv4QM=")</f>
        <v>#REF!</v>
      </c>
      <c r="E28" t="e">
        <f>AND(#REF!,"AAAAADfv4QQ=")</f>
        <v>#REF!</v>
      </c>
      <c r="F28" t="e">
        <f>AND(#REF!,"AAAAADfv4QU=")</f>
        <v>#REF!</v>
      </c>
      <c r="G28" t="e">
        <f>AND(#REF!,"AAAAADfv4QY=")</f>
        <v>#REF!</v>
      </c>
      <c r="H28" t="e">
        <f>AND(#REF!,"AAAAADfv4Qc=")</f>
        <v>#REF!</v>
      </c>
      <c r="I28" t="e">
        <f>AND(#REF!,"AAAAADfv4Qg=")</f>
        <v>#REF!</v>
      </c>
      <c r="J28" t="e">
        <f>AND(#REF!,"AAAAADfv4Qk=")</f>
        <v>#REF!</v>
      </c>
      <c r="K28" t="e">
        <f>AND(#REF!,"AAAAADfv4Qo=")</f>
        <v>#REF!</v>
      </c>
      <c r="L28" t="e">
        <f>AND(#REF!,"AAAAADfv4Qs=")</f>
        <v>#REF!</v>
      </c>
      <c r="M28" t="e">
        <f>AND(#REF!,"AAAAADfv4Qw=")</f>
        <v>#REF!</v>
      </c>
      <c r="N28" t="e">
        <f>AND(#REF!,"AAAAADfv4Q0=")</f>
        <v>#REF!</v>
      </c>
      <c r="O28" t="e">
        <f>AND(#REF!,"AAAAADfv4Q4=")</f>
        <v>#REF!</v>
      </c>
      <c r="P28" t="e">
        <f>AND(#REF!,"AAAAADfv4Q8=")</f>
        <v>#REF!</v>
      </c>
      <c r="Q28" t="e">
        <f>AND(#REF!,"AAAAADfv4RA=")</f>
        <v>#REF!</v>
      </c>
      <c r="R28" t="e">
        <f>AND(#REF!,"AAAAADfv4RE=")</f>
        <v>#REF!</v>
      </c>
      <c r="S28" t="e">
        <f>AND(#REF!,"AAAAADfv4RI=")</f>
        <v>#REF!</v>
      </c>
      <c r="T28" t="e">
        <f>AND(#REF!,"AAAAADfv4RM=")</f>
        <v>#REF!</v>
      </c>
      <c r="U28" t="e">
        <f>AND(#REF!,"AAAAADfv4RQ=")</f>
        <v>#REF!</v>
      </c>
      <c r="V28" t="e">
        <f>AND(#REF!,"AAAAADfv4RU=")</f>
        <v>#REF!</v>
      </c>
      <c r="W28" t="e">
        <f>AND(#REF!,"AAAAADfv4RY=")</f>
        <v>#REF!</v>
      </c>
      <c r="X28" t="e">
        <f>IF(#REF!,"AAAAADfv4Rc=",0)</f>
        <v>#REF!</v>
      </c>
      <c r="Y28" t="e">
        <f>AND(#REF!,"AAAAADfv4Rg=")</f>
        <v>#REF!</v>
      </c>
      <c r="Z28" t="e">
        <f>AND(#REF!,"AAAAADfv4Rk=")</f>
        <v>#REF!</v>
      </c>
      <c r="AA28" t="e">
        <f>AND(#REF!,"AAAAADfv4Ro=")</f>
        <v>#REF!</v>
      </c>
      <c r="AB28" t="e">
        <f>AND(#REF!,"AAAAADfv4Rs=")</f>
        <v>#REF!</v>
      </c>
      <c r="AC28" t="e">
        <f>AND(#REF!,"AAAAADfv4Rw=")</f>
        <v>#REF!</v>
      </c>
      <c r="AD28" t="e">
        <f>AND(#REF!,"AAAAADfv4R0=")</f>
        <v>#REF!</v>
      </c>
      <c r="AE28" t="e">
        <f>AND(#REF!,"AAAAADfv4R4=")</f>
        <v>#REF!</v>
      </c>
      <c r="AF28" t="e">
        <f>AND(#REF!,"AAAAADfv4R8=")</f>
        <v>#REF!</v>
      </c>
      <c r="AG28" t="e">
        <f>AND(#REF!,"AAAAADfv4SA=")</f>
        <v>#REF!</v>
      </c>
      <c r="AH28" t="e">
        <f>AND(#REF!,"AAAAADfv4SE=")</f>
        <v>#REF!</v>
      </c>
      <c r="AI28" t="e">
        <f>AND(#REF!,"AAAAADfv4SI=")</f>
        <v>#REF!</v>
      </c>
      <c r="AJ28" t="e">
        <f>AND(#REF!,"AAAAADfv4SM=")</f>
        <v>#REF!</v>
      </c>
      <c r="AK28" t="e">
        <f>AND(#REF!,"AAAAADfv4SQ=")</f>
        <v>#REF!</v>
      </c>
      <c r="AL28" t="e">
        <f>AND(#REF!,"AAAAADfv4SU=")</f>
        <v>#REF!</v>
      </c>
      <c r="AM28" t="e">
        <f>AND(#REF!,"AAAAADfv4SY=")</f>
        <v>#REF!</v>
      </c>
      <c r="AN28" t="e">
        <f>AND(#REF!,"AAAAADfv4Sc=")</f>
        <v>#REF!</v>
      </c>
      <c r="AO28" t="e">
        <f>AND(#REF!,"AAAAADfv4Sg=")</f>
        <v>#REF!</v>
      </c>
      <c r="AP28" t="e">
        <f>AND(#REF!,"AAAAADfv4Sk=")</f>
        <v>#REF!</v>
      </c>
      <c r="AQ28" t="e">
        <f>AND(#REF!,"AAAAADfv4So=")</f>
        <v>#REF!</v>
      </c>
      <c r="AR28" t="e">
        <f>AND(#REF!,"AAAAADfv4Ss=")</f>
        <v>#REF!</v>
      </c>
      <c r="AS28" t="e">
        <f>AND(#REF!,"AAAAADfv4Sw=")</f>
        <v>#REF!</v>
      </c>
      <c r="AT28" t="e">
        <f>AND(#REF!,"AAAAADfv4S0=")</f>
        <v>#REF!</v>
      </c>
      <c r="AU28" t="e">
        <f>AND(#REF!,"AAAAADfv4S4=")</f>
        <v>#REF!</v>
      </c>
      <c r="AV28" t="e">
        <f>AND(#REF!,"AAAAADfv4S8=")</f>
        <v>#REF!</v>
      </c>
      <c r="AW28" t="e">
        <f>AND(#REF!,"AAAAADfv4TA=")</f>
        <v>#REF!</v>
      </c>
      <c r="AX28" t="e">
        <f>AND(#REF!,"AAAAADfv4TE=")</f>
        <v>#REF!</v>
      </c>
      <c r="AY28" t="e">
        <f>IF(#REF!,"AAAAADfv4TI=",0)</f>
        <v>#REF!</v>
      </c>
      <c r="AZ28" t="e">
        <f>AND(#REF!,"AAAAADfv4TM=")</f>
        <v>#REF!</v>
      </c>
      <c r="BA28" t="e">
        <f>AND(#REF!,"AAAAADfv4TQ=")</f>
        <v>#REF!</v>
      </c>
      <c r="BB28" t="e">
        <f>AND(#REF!,"AAAAADfv4TU=")</f>
        <v>#REF!</v>
      </c>
      <c r="BC28" t="e">
        <f>AND(#REF!,"AAAAADfv4TY=")</f>
        <v>#REF!</v>
      </c>
      <c r="BD28" t="e">
        <f>AND(#REF!,"AAAAADfv4Tc=")</f>
        <v>#REF!</v>
      </c>
      <c r="BE28" t="e">
        <f>AND(#REF!,"AAAAADfv4Tg=")</f>
        <v>#REF!</v>
      </c>
      <c r="BF28" t="e">
        <f>AND(#REF!,"AAAAADfv4Tk=")</f>
        <v>#REF!</v>
      </c>
      <c r="BG28" t="e">
        <f>AND(#REF!,"AAAAADfv4To=")</f>
        <v>#REF!</v>
      </c>
      <c r="BH28" t="e">
        <f>AND(#REF!,"AAAAADfv4Ts=")</f>
        <v>#REF!</v>
      </c>
      <c r="BI28" t="e">
        <f>AND(#REF!,"AAAAADfv4Tw=")</f>
        <v>#REF!</v>
      </c>
      <c r="BJ28" t="e">
        <f>AND(#REF!,"AAAAADfv4T0=")</f>
        <v>#REF!</v>
      </c>
      <c r="BK28" t="e">
        <f>AND(#REF!,"AAAAADfv4T4=")</f>
        <v>#REF!</v>
      </c>
      <c r="BL28" t="e">
        <f>AND(#REF!,"AAAAADfv4T8=")</f>
        <v>#REF!</v>
      </c>
      <c r="BM28" t="e">
        <f>AND(#REF!,"AAAAADfv4UA=")</f>
        <v>#REF!</v>
      </c>
      <c r="BN28" t="e">
        <f>AND(#REF!,"AAAAADfv4UE=")</f>
        <v>#REF!</v>
      </c>
      <c r="BO28" t="e">
        <f>AND(#REF!,"AAAAADfv4UI=")</f>
        <v>#REF!</v>
      </c>
      <c r="BP28" t="e">
        <f>AND(#REF!,"AAAAADfv4UM=")</f>
        <v>#REF!</v>
      </c>
      <c r="BQ28" t="e">
        <f>AND(#REF!,"AAAAADfv4UQ=")</f>
        <v>#REF!</v>
      </c>
      <c r="BR28" t="e">
        <f>AND(#REF!,"AAAAADfv4UU=")</f>
        <v>#REF!</v>
      </c>
      <c r="BS28" t="e">
        <f>AND(#REF!,"AAAAADfv4UY=")</f>
        <v>#REF!</v>
      </c>
      <c r="BT28" t="e">
        <f>AND(#REF!,"AAAAADfv4Uc=")</f>
        <v>#REF!</v>
      </c>
      <c r="BU28" t="e">
        <f>AND(#REF!,"AAAAADfv4Ug=")</f>
        <v>#REF!</v>
      </c>
      <c r="BV28" t="e">
        <f>AND(#REF!,"AAAAADfv4Uk=")</f>
        <v>#REF!</v>
      </c>
      <c r="BW28" t="e">
        <f>AND(#REF!,"AAAAADfv4Uo=")</f>
        <v>#REF!</v>
      </c>
      <c r="BX28" t="e">
        <f>AND(#REF!,"AAAAADfv4Us=")</f>
        <v>#REF!</v>
      </c>
      <c r="BY28" t="e">
        <f>AND(#REF!,"AAAAADfv4Uw=")</f>
        <v>#REF!</v>
      </c>
      <c r="BZ28" t="e">
        <f>IF(#REF!,"AAAAADfv4U0=",0)</f>
        <v>#REF!</v>
      </c>
      <c r="CA28" t="e">
        <f>IF(#REF!,"AAAAADfv4U4=",0)</f>
        <v>#REF!</v>
      </c>
      <c r="CB28" t="e">
        <f>IF(#REF!,"AAAAADfv4U8=",0)</f>
        <v>#REF!</v>
      </c>
      <c r="CC28" t="e">
        <f>IF(#REF!,"AAAAADfv4VA=",0)</f>
        <v>#REF!</v>
      </c>
      <c r="CD28" t="e">
        <f>IF(#REF!,"AAAAADfv4VE=",0)</f>
        <v>#REF!</v>
      </c>
      <c r="CE28" t="e">
        <f>IF(#REF!,"AAAAADfv4VI=",0)</f>
        <v>#REF!</v>
      </c>
      <c r="CF28" t="e">
        <f>IF(#REF!,"AAAAADfv4VM=",0)</f>
        <v>#REF!</v>
      </c>
      <c r="CG28" t="e">
        <f>IF(#REF!,"AAAAADfv4VQ=",0)</f>
        <v>#REF!</v>
      </c>
      <c r="CH28" t="e">
        <f>IF(#REF!,"AAAAADfv4VU=",0)</f>
        <v>#REF!</v>
      </c>
      <c r="CI28" t="e">
        <f>IF(#REF!,"AAAAADfv4VY=",0)</f>
        <v>#REF!</v>
      </c>
      <c r="CJ28" t="e">
        <f>IF(#REF!,"AAAAADfv4Vc=",0)</f>
        <v>#REF!</v>
      </c>
      <c r="CK28" t="e">
        <f>IF(#REF!,"AAAAADfv4Vg=",0)</f>
        <v>#REF!</v>
      </c>
      <c r="CL28" t="e">
        <f>IF(#REF!,"AAAAADfv4Vk=",0)</f>
        <v>#REF!</v>
      </c>
      <c r="CM28" t="e">
        <f>IF(#REF!,"AAAAADfv4Vo=",0)</f>
        <v>#REF!</v>
      </c>
      <c r="CN28" t="e">
        <f>IF(#REF!,"AAAAADfv4Vs=",0)</f>
        <v>#REF!</v>
      </c>
      <c r="CO28" t="e">
        <f>IF(#REF!,"AAAAADfv4Vw=",0)</f>
        <v>#REF!</v>
      </c>
      <c r="CP28" t="e">
        <f>IF(#REF!,"AAAAADfv4V0=",0)</f>
        <v>#REF!</v>
      </c>
      <c r="CQ28" t="e">
        <f>IF(#REF!,"AAAAADfv4V4=",0)</f>
        <v>#REF!</v>
      </c>
      <c r="CR28" t="e">
        <f>IF(#REF!,"AAAAADfv4V8=",0)</f>
        <v>#REF!</v>
      </c>
      <c r="CS28" t="e">
        <f>IF(#REF!,"AAAAADfv4WA=",0)</f>
        <v>#REF!</v>
      </c>
      <c r="CT28" t="e">
        <f>IF(#REF!,"AAAAADfv4WE=",0)</f>
        <v>#REF!</v>
      </c>
      <c r="CU28" t="e">
        <f>IF(#REF!,"AAAAADfv4WI=",0)</f>
        <v>#REF!</v>
      </c>
      <c r="CV28" t="e">
        <f>IF(#REF!,"AAAAADfv4WM=",0)</f>
        <v>#REF!</v>
      </c>
      <c r="CW28" t="e">
        <f>IF(#REF!,"AAAAADfv4WQ=",0)</f>
        <v>#REF!</v>
      </c>
      <c r="CX28" t="e">
        <f>IF(#REF!,"AAAAADfv4WU=",0)</f>
        <v>#REF!</v>
      </c>
      <c r="CY28" t="e">
        <f>IF(#REF!,"AAAAADfv4WY=",0)</f>
        <v>#REF!</v>
      </c>
      <c r="CZ28" t="e">
        <f>IF(#REF!,"AAAAADfv4Wc=",0)</f>
        <v>#REF!</v>
      </c>
      <c r="DA28" t="e">
        <f>AND(#REF!,"AAAAADfv4Wg=")</f>
        <v>#REF!</v>
      </c>
      <c r="DB28" t="e">
        <f>AND(#REF!,"AAAAADfv4Wk=")</f>
        <v>#REF!</v>
      </c>
      <c r="DC28" t="e">
        <f>AND(#REF!,"AAAAADfv4Wo=")</f>
        <v>#REF!</v>
      </c>
      <c r="DD28" t="e">
        <f>AND(#REF!,"AAAAADfv4Ws=")</f>
        <v>#REF!</v>
      </c>
      <c r="DE28" t="e">
        <f>AND(#REF!,"AAAAADfv4Ww=")</f>
        <v>#REF!</v>
      </c>
      <c r="DF28" t="e">
        <f>AND(#REF!,"AAAAADfv4W0=")</f>
        <v>#REF!</v>
      </c>
      <c r="DG28" t="e">
        <f>AND(#REF!,"AAAAADfv4W4=")</f>
        <v>#REF!</v>
      </c>
      <c r="DH28" t="e">
        <f>AND(#REF!,"AAAAADfv4W8=")</f>
        <v>#REF!</v>
      </c>
      <c r="DI28" t="e">
        <f>AND(#REF!,"AAAAADfv4XA=")</f>
        <v>#REF!</v>
      </c>
      <c r="DJ28" t="e">
        <f>AND(#REF!,"AAAAADfv4XE=")</f>
        <v>#REF!</v>
      </c>
      <c r="DK28" t="e">
        <f>AND(#REF!,"AAAAADfv4XI=")</f>
        <v>#REF!</v>
      </c>
      <c r="DL28" t="e">
        <f>AND(#REF!,"AAAAADfv4XM=")</f>
        <v>#REF!</v>
      </c>
      <c r="DM28" t="e">
        <f>AND(#REF!,"AAAAADfv4XQ=")</f>
        <v>#REF!</v>
      </c>
      <c r="DN28" t="e">
        <f>AND(#REF!,"AAAAADfv4XU=")</f>
        <v>#REF!</v>
      </c>
      <c r="DO28" t="e">
        <f>AND(#REF!,"AAAAADfv4XY=")</f>
        <v>#REF!</v>
      </c>
      <c r="DP28" t="e">
        <f>AND(#REF!,"AAAAADfv4Xc=")</f>
        <v>#REF!</v>
      </c>
      <c r="DQ28" t="e">
        <f>AND(#REF!,"AAAAADfv4Xg=")</f>
        <v>#REF!</v>
      </c>
      <c r="DR28" t="e">
        <f>AND(#REF!,"AAAAADfv4Xk=")</f>
        <v>#REF!</v>
      </c>
      <c r="DS28" t="e">
        <f>AND(#REF!,"AAAAADfv4Xo=")</f>
        <v>#REF!</v>
      </c>
      <c r="DT28" t="e">
        <f>AND(#REF!,"AAAAADfv4Xs=")</f>
        <v>#REF!</v>
      </c>
      <c r="DU28" t="e">
        <f>AND(#REF!,"AAAAADfv4Xw=")</f>
        <v>#REF!</v>
      </c>
      <c r="DV28" t="e">
        <f>AND(#REF!,"AAAAADfv4X0=")</f>
        <v>#REF!</v>
      </c>
      <c r="DW28" t="e">
        <f>AND(#REF!,"AAAAADfv4X4=")</f>
        <v>#REF!</v>
      </c>
      <c r="DX28" t="e">
        <f>AND(#REF!,"AAAAADfv4X8=")</f>
        <v>#REF!</v>
      </c>
      <c r="DY28" t="e">
        <f>AND(#REF!,"AAAAADfv4YA=")</f>
        <v>#REF!</v>
      </c>
      <c r="DZ28" t="e">
        <f>AND(#REF!,"AAAAADfv4YE=")</f>
        <v>#REF!</v>
      </c>
      <c r="EA28" t="e">
        <f>IF(#REF!,"AAAAADfv4YI=",0)</f>
        <v>#REF!</v>
      </c>
      <c r="EB28" t="e">
        <f>AND(#REF!,"AAAAADfv4YM=")</f>
        <v>#REF!</v>
      </c>
      <c r="EC28" t="e">
        <f>AND(#REF!,"AAAAADfv4YQ=")</f>
        <v>#REF!</v>
      </c>
      <c r="ED28" t="e">
        <f>AND(#REF!,"AAAAADfv4YU=")</f>
        <v>#REF!</v>
      </c>
      <c r="EE28" t="e">
        <f>AND(#REF!,"AAAAADfv4YY=")</f>
        <v>#REF!</v>
      </c>
      <c r="EF28" t="e">
        <f>AND(#REF!,"AAAAADfv4Yc=")</f>
        <v>#REF!</v>
      </c>
      <c r="EG28" t="e">
        <f>AND(#REF!,"AAAAADfv4Yg=")</f>
        <v>#REF!</v>
      </c>
      <c r="EH28" t="e">
        <f>AND(#REF!,"AAAAADfv4Yk=")</f>
        <v>#REF!</v>
      </c>
      <c r="EI28" t="e">
        <f>AND(#REF!,"AAAAADfv4Yo=")</f>
        <v>#REF!</v>
      </c>
      <c r="EJ28" t="e">
        <f>AND(#REF!,"AAAAADfv4Ys=")</f>
        <v>#REF!</v>
      </c>
      <c r="EK28" t="e">
        <f>AND(#REF!,"AAAAADfv4Yw=")</f>
        <v>#REF!</v>
      </c>
      <c r="EL28" t="e">
        <f>AND(#REF!,"AAAAADfv4Y0=")</f>
        <v>#REF!</v>
      </c>
      <c r="EM28" t="e">
        <f>AND(#REF!,"AAAAADfv4Y4=")</f>
        <v>#REF!</v>
      </c>
      <c r="EN28" t="e">
        <f>AND(#REF!,"AAAAADfv4Y8=")</f>
        <v>#REF!</v>
      </c>
      <c r="EO28" t="e">
        <f>AND(#REF!,"AAAAADfv4ZA=")</f>
        <v>#REF!</v>
      </c>
      <c r="EP28" t="e">
        <f>AND(#REF!,"AAAAADfv4ZE=")</f>
        <v>#REF!</v>
      </c>
      <c r="EQ28" t="e">
        <f>AND(#REF!,"AAAAADfv4ZI=")</f>
        <v>#REF!</v>
      </c>
      <c r="ER28" t="e">
        <f>AND(#REF!,"AAAAADfv4ZM=")</f>
        <v>#REF!</v>
      </c>
      <c r="ES28" t="e">
        <f>AND(#REF!,"AAAAADfv4ZQ=")</f>
        <v>#REF!</v>
      </c>
      <c r="ET28" t="e">
        <f>AND(#REF!,"AAAAADfv4ZU=")</f>
        <v>#REF!</v>
      </c>
      <c r="EU28" t="e">
        <f>AND(#REF!,"AAAAADfv4ZY=")</f>
        <v>#REF!</v>
      </c>
      <c r="EV28" t="e">
        <f>AND(#REF!,"AAAAADfv4Zc=")</f>
        <v>#REF!</v>
      </c>
      <c r="EW28" t="e">
        <f>AND(#REF!,"AAAAADfv4Zg=")</f>
        <v>#REF!</v>
      </c>
      <c r="EX28" t="e">
        <f>AND(#REF!,"AAAAADfv4Zk=")</f>
        <v>#REF!</v>
      </c>
      <c r="EY28" t="e">
        <f>AND(#REF!,"AAAAADfv4Zo=")</f>
        <v>#REF!</v>
      </c>
      <c r="EZ28" t="e">
        <f>AND(#REF!,"AAAAADfv4Zs=")</f>
        <v>#REF!</v>
      </c>
      <c r="FA28" t="e">
        <f>AND(#REF!,"AAAAADfv4Zw=")</f>
        <v>#REF!</v>
      </c>
      <c r="FB28" t="e">
        <f>IF(#REF!,"AAAAADfv4Z0=",0)</f>
        <v>#REF!</v>
      </c>
      <c r="FC28" t="e">
        <f>AND(#REF!,"AAAAADfv4Z4=")</f>
        <v>#REF!</v>
      </c>
      <c r="FD28" t="e">
        <f>AND(#REF!,"AAAAADfv4Z8=")</f>
        <v>#REF!</v>
      </c>
      <c r="FE28" t="e">
        <f>AND(#REF!,"AAAAADfv4aA=")</f>
        <v>#REF!</v>
      </c>
      <c r="FF28" t="e">
        <f>AND(#REF!,"AAAAADfv4aE=")</f>
        <v>#REF!</v>
      </c>
      <c r="FG28" t="e">
        <f>AND(#REF!,"AAAAADfv4aI=")</f>
        <v>#REF!</v>
      </c>
      <c r="FH28" t="e">
        <f>AND(#REF!,"AAAAADfv4aM=")</f>
        <v>#REF!</v>
      </c>
      <c r="FI28" t="e">
        <f>AND(#REF!,"AAAAADfv4aQ=")</f>
        <v>#REF!</v>
      </c>
      <c r="FJ28" t="e">
        <f>AND(#REF!,"AAAAADfv4aU=")</f>
        <v>#REF!</v>
      </c>
      <c r="FK28" t="e">
        <f>AND(#REF!,"AAAAADfv4aY=")</f>
        <v>#REF!</v>
      </c>
      <c r="FL28" t="e">
        <f>AND(#REF!,"AAAAADfv4ac=")</f>
        <v>#REF!</v>
      </c>
      <c r="FM28" t="e">
        <f>AND(#REF!,"AAAAADfv4ag=")</f>
        <v>#REF!</v>
      </c>
      <c r="FN28" t="e">
        <f>AND(#REF!,"AAAAADfv4ak=")</f>
        <v>#REF!</v>
      </c>
      <c r="FO28" t="e">
        <f>AND(#REF!,"AAAAADfv4ao=")</f>
        <v>#REF!</v>
      </c>
      <c r="FP28" t="e">
        <f>AND(#REF!,"AAAAADfv4as=")</f>
        <v>#REF!</v>
      </c>
      <c r="FQ28" t="e">
        <f>AND(#REF!,"AAAAADfv4aw=")</f>
        <v>#REF!</v>
      </c>
      <c r="FR28" t="e">
        <f>AND(#REF!,"AAAAADfv4a0=")</f>
        <v>#REF!</v>
      </c>
      <c r="FS28" t="e">
        <f>AND(#REF!,"AAAAADfv4a4=")</f>
        <v>#REF!</v>
      </c>
      <c r="FT28" t="e">
        <f>AND(#REF!,"AAAAADfv4a8=")</f>
        <v>#REF!</v>
      </c>
      <c r="FU28" t="e">
        <f>AND(#REF!,"AAAAADfv4bA=")</f>
        <v>#REF!</v>
      </c>
      <c r="FV28" t="e">
        <f>AND(#REF!,"AAAAADfv4bE=")</f>
        <v>#REF!</v>
      </c>
      <c r="FW28" t="e">
        <f>AND(#REF!,"AAAAADfv4bI=")</f>
        <v>#REF!</v>
      </c>
      <c r="FX28" t="e">
        <f>AND(#REF!,"AAAAADfv4bM=")</f>
        <v>#REF!</v>
      </c>
      <c r="FY28" t="e">
        <f>AND(#REF!,"AAAAADfv4bQ=")</f>
        <v>#REF!</v>
      </c>
      <c r="FZ28" t="e">
        <f>AND(#REF!,"AAAAADfv4bU=")</f>
        <v>#REF!</v>
      </c>
      <c r="GA28" t="e">
        <f>AND(#REF!,"AAAAADfv4bY=")</f>
        <v>#REF!</v>
      </c>
      <c r="GB28" t="e">
        <f>AND(#REF!,"AAAAADfv4bc=")</f>
        <v>#REF!</v>
      </c>
      <c r="GC28" t="e">
        <f>IF(#REF!,"AAAAADfv4bg=",0)</f>
        <v>#REF!</v>
      </c>
      <c r="GD28" t="e">
        <f>AND(#REF!,"AAAAADfv4bk=")</f>
        <v>#REF!</v>
      </c>
      <c r="GE28" t="e">
        <f>AND(#REF!,"AAAAADfv4bo=")</f>
        <v>#REF!</v>
      </c>
      <c r="GF28" t="e">
        <f>AND(#REF!,"AAAAADfv4bs=")</f>
        <v>#REF!</v>
      </c>
      <c r="GG28" t="e">
        <f>AND(#REF!,"AAAAADfv4bw=")</f>
        <v>#REF!</v>
      </c>
      <c r="GH28" t="e">
        <f>AND(#REF!,"AAAAADfv4b0=")</f>
        <v>#REF!</v>
      </c>
      <c r="GI28" t="e">
        <f>AND(#REF!,"AAAAADfv4b4=")</f>
        <v>#REF!</v>
      </c>
      <c r="GJ28" t="e">
        <f>AND(#REF!,"AAAAADfv4b8=")</f>
        <v>#REF!</v>
      </c>
      <c r="GK28" t="e">
        <f>AND(#REF!,"AAAAADfv4cA=")</f>
        <v>#REF!</v>
      </c>
      <c r="GL28" t="e">
        <f>AND(#REF!,"AAAAADfv4cE=")</f>
        <v>#REF!</v>
      </c>
      <c r="GM28" t="e">
        <f>AND(#REF!,"AAAAADfv4cI=")</f>
        <v>#REF!</v>
      </c>
      <c r="GN28" t="e">
        <f>AND(#REF!,"AAAAADfv4cM=")</f>
        <v>#REF!</v>
      </c>
      <c r="GO28" t="e">
        <f>AND(#REF!,"AAAAADfv4cQ=")</f>
        <v>#REF!</v>
      </c>
      <c r="GP28" t="e">
        <f>AND(#REF!,"AAAAADfv4cU=")</f>
        <v>#REF!</v>
      </c>
      <c r="GQ28" t="e">
        <f>AND(#REF!,"AAAAADfv4cY=")</f>
        <v>#REF!</v>
      </c>
      <c r="GR28" t="e">
        <f>AND(#REF!,"AAAAADfv4cc=")</f>
        <v>#REF!</v>
      </c>
      <c r="GS28" t="e">
        <f>AND(#REF!,"AAAAADfv4cg=")</f>
        <v>#REF!</v>
      </c>
      <c r="GT28" t="e">
        <f>AND(#REF!,"AAAAADfv4ck=")</f>
        <v>#REF!</v>
      </c>
      <c r="GU28" t="e">
        <f>AND(#REF!,"AAAAADfv4co=")</f>
        <v>#REF!</v>
      </c>
      <c r="GV28" t="e">
        <f>AND(#REF!,"AAAAADfv4cs=")</f>
        <v>#REF!</v>
      </c>
      <c r="GW28" t="e">
        <f>AND(#REF!,"AAAAADfv4cw=")</f>
        <v>#REF!</v>
      </c>
      <c r="GX28" t="e">
        <f>AND(#REF!,"AAAAADfv4c0=")</f>
        <v>#REF!</v>
      </c>
      <c r="GY28" t="e">
        <f>AND(#REF!,"AAAAADfv4c4=")</f>
        <v>#REF!</v>
      </c>
      <c r="GZ28" t="e">
        <f>AND(#REF!,"AAAAADfv4c8=")</f>
        <v>#REF!</v>
      </c>
      <c r="HA28" t="e">
        <f>AND(#REF!,"AAAAADfv4dA=")</f>
        <v>#REF!</v>
      </c>
      <c r="HB28" t="e">
        <f>AND(#REF!,"AAAAADfv4dE=")</f>
        <v>#REF!</v>
      </c>
      <c r="HC28" t="e">
        <f>AND(#REF!,"AAAAADfv4dI=")</f>
        <v>#REF!</v>
      </c>
      <c r="HD28" t="e">
        <f>IF(#REF!,"AAAAADfv4dM=",0)</f>
        <v>#REF!</v>
      </c>
      <c r="HE28" t="e">
        <f>AND(#REF!,"AAAAADfv4dQ=")</f>
        <v>#REF!</v>
      </c>
      <c r="HF28" t="e">
        <f>AND(#REF!,"AAAAADfv4dU=")</f>
        <v>#REF!</v>
      </c>
      <c r="HG28" t="e">
        <f>AND(#REF!,"AAAAADfv4dY=")</f>
        <v>#REF!</v>
      </c>
      <c r="HH28" t="e">
        <f>AND(#REF!,"AAAAADfv4dc=")</f>
        <v>#REF!</v>
      </c>
      <c r="HI28" t="e">
        <f>AND(#REF!,"AAAAADfv4dg=")</f>
        <v>#REF!</v>
      </c>
      <c r="HJ28" t="e">
        <f>AND(#REF!,"AAAAADfv4dk=")</f>
        <v>#REF!</v>
      </c>
      <c r="HK28" t="e">
        <f>AND(#REF!,"AAAAADfv4do=")</f>
        <v>#REF!</v>
      </c>
      <c r="HL28" t="e">
        <f>AND(#REF!,"AAAAADfv4ds=")</f>
        <v>#REF!</v>
      </c>
      <c r="HM28" t="e">
        <f>AND(#REF!,"AAAAADfv4dw=")</f>
        <v>#REF!</v>
      </c>
      <c r="HN28" t="e">
        <f>AND(#REF!,"AAAAADfv4d0=")</f>
        <v>#REF!</v>
      </c>
      <c r="HO28" t="e">
        <f>AND(#REF!,"AAAAADfv4d4=")</f>
        <v>#REF!</v>
      </c>
      <c r="HP28" t="e">
        <f>AND(#REF!,"AAAAADfv4d8=")</f>
        <v>#REF!</v>
      </c>
      <c r="HQ28" t="e">
        <f>AND(#REF!,"AAAAADfv4eA=")</f>
        <v>#REF!</v>
      </c>
      <c r="HR28" t="e">
        <f>AND(#REF!,"AAAAADfv4eE=")</f>
        <v>#REF!</v>
      </c>
      <c r="HS28" t="e">
        <f>AND(#REF!,"AAAAADfv4eI=")</f>
        <v>#REF!</v>
      </c>
      <c r="HT28" t="e">
        <f>AND(#REF!,"AAAAADfv4eM=")</f>
        <v>#REF!</v>
      </c>
      <c r="HU28" t="e">
        <f>AND(#REF!,"AAAAADfv4eQ=")</f>
        <v>#REF!</v>
      </c>
      <c r="HV28" t="e">
        <f>AND(#REF!,"AAAAADfv4eU=")</f>
        <v>#REF!</v>
      </c>
      <c r="HW28" t="e">
        <f>AND(#REF!,"AAAAADfv4eY=")</f>
        <v>#REF!</v>
      </c>
      <c r="HX28" t="e">
        <f>AND(#REF!,"AAAAADfv4ec=")</f>
        <v>#REF!</v>
      </c>
      <c r="HY28" t="e">
        <f>AND(#REF!,"AAAAADfv4eg=")</f>
        <v>#REF!</v>
      </c>
      <c r="HZ28" t="e">
        <f>AND(#REF!,"AAAAADfv4ek=")</f>
        <v>#REF!</v>
      </c>
      <c r="IA28" t="e">
        <f>AND(#REF!,"AAAAADfv4eo=")</f>
        <v>#REF!</v>
      </c>
      <c r="IB28" t="e">
        <f>AND(#REF!,"AAAAADfv4es=")</f>
        <v>#REF!</v>
      </c>
      <c r="IC28" t="e">
        <f>AND(#REF!,"AAAAADfv4ew=")</f>
        <v>#REF!</v>
      </c>
      <c r="ID28" t="e">
        <f>AND(#REF!,"AAAAADfv4e0=")</f>
        <v>#REF!</v>
      </c>
      <c r="IE28" t="e">
        <f>IF(#REF!,"AAAAADfv4e4=",0)</f>
        <v>#REF!</v>
      </c>
      <c r="IF28" t="e">
        <f>AND(#REF!,"AAAAADfv4e8=")</f>
        <v>#REF!</v>
      </c>
      <c r="IG28" t="e">
        <f>AND(#REF!,"AAAAADfv4fA=")</f>
        <v>#REF!</v>
      </c>
      <c r="IH28" t="e">
        <f>AND(#REF!,"AAAAADfv4fE=")</f>
        <v>#REF!</v>
      </c>
      <c r="II28" t="e">
        <f>AND(#REF!,"AAAAADfv4fI=")</f>
        <v>#REF!</v>
      </c>
      <c r="IJ28" t="e">
        <f>AND(#REF!,"AAAAADfv4fM=")</f>
        <v>#REF!</v>
      </c>
      <c r="IK28" t="e">
        <f>AND(#REF!,"AAAAADfv4fQ=")</f>
        <v>#REF!</v>
      </c>
      <c r="IL28" t="e">
        <f>AND(#REF!,"AAAAADfv4fU=")</f>
        <v>#REF!</v>
      </c>
      <c r="IM28" t="e">
        <f>AND(#REF!,"AAAAADfv4fY=")</f>
        <v>#REF!</v>
      </c>
      <c r="IN28" t="e">
        <f>AND(#REF!,"AAAAADfv4fc=")</f>
        <v>#REF!</v>
      </c>
      <c r="IO28" t="e">
        <f>AND(#REF!,"AAAAADfv4fg=")</f>
        <v>#REF!</v>
      </c>
      <c r="IP28" t="e">
        <f>AND(#REF!,"AAAAADfv4fk=")</f>
        <v>#REF!</v>
      </c>
      <c r="IQ28" t="e">
        <f>AND(#REF!,"AAAAADfv4fo=")</f>
        <v>#REF!</v>
      </c>
      <c r="IR28" t="e">
        <f>AND(#REF!,"AAAAADfv4fs=")</f>
        <v>#REF!</v>
      </c>
      <c r="IS28" t="e">
        <f>AND(#REF!,"AAAAADfv4fw=")</f>
        <v>#REF!</v>
      </c>
      <c r="IT28" t="e">
        <f>AND(#REF!,"AAAAADfv4f0=")</f>
        <v>#REF!</v>
      </c>
      <c r="IU28" t="e">
        <f>AND(#REF!,"AAAAADfv4f4=")</f>
        <v>#REF!</v>
      </c>
      <c r="IV28" t="e">
        <f>AND(#REF!,"AAAAADfv4f8=")</f>
        <v>#REF!</v>
      </c>
    </row>
    <row r="29" spans="1:256" x14ac:dyDescent="0.2">
      <c r="A29" t="e">
        <f>AND(#REF!,"AAAAAC789wA=")</f>
        <v>#REF!</v>
      </c>
      <c r="B29" t="e">
        <f>AND(#REF!,"AAAAAC789wE=")</f>
        <v>#REF!</v>
      </c>
      <c r="C29" t="e">
        <f>AND(#REF!,"AAAAAC789wI=")</f>
        <v>#REF!</v>
      </c>
      <c r="D29" t="e">
        <f>AND(#REF!,"AAAAAC789wM=")</f>
        <v>#REF!</v>
      </c>
      <c r="E29" t="e">
        <f>AND(#REF!,"AAAAAC789wQ=")</f>
        <v>#REF!</v>
      </c>
      <c r="F29" t="e">
        <f>AND(#REF!,"AAAAAC789wU=")</f>
        <v>#REF!</v>
      </c>
      <c r="G29" t="e">
        <f>AND(#REF!,"AAAAAC789wY=")</f>
        <v>#REF!</v>
      </c>
      <c r="H29" t="e">
        <f>AND(#REF!,"AAAAAC789wc=")</f>
        <v>#REF!</v>
      </c>
      <c r="I29" t="e">
        <f>AND(#REF!,"AAAAAC789wg=")</f>
        <v>#REF!</v>
      </c>
      <c r="J29" t="e">
        <f>IF(#REF!,"AAAAAC789wk=",0)</f>
        <v>#REF!</v>
      </c>
      <c r="K29" t="e">
        <f>AND(#REF!,"AAAAAC789wo=")</f>
        <v>#REF!</v>
      </c>
      <c r="L29" t="e">
        <f>AND(#REF!,"AAAAAC789ws=")</f>
        <v>#REF!</v>
      </c>
      <c r="M29" t="e">
        <f>AND(#REF!,"AAAAAC789ww=")</f>
        <v>#REF!</v>
      </c>
      <c r="N29" t="e">
        <f>AND(#REF!,"AAAAAC789w0=")</f>
        <v>#REF!</v>
      </c>
      <c r="O29" t="e">
        <f>AND(#REF!,"AAAAAC789w4=")</f>
        <v>#REF!</v>
      </c>
      <c r="P29" t="e">
        <f>AND(#REF!,"AAAAAC789w8=")</f>
        <v>#REF!</v>
      </c>
      <c r="Q29" t="e">
        <f>AND(#REF!,"AAAAAC789xA=")</f>
        <v>#REF!</v>
      </c>
      <c r="R29" t="e">
        <f>AND(#REF!,"AAAAAC789xE=")</f>
        <v>#REF!</v>
      </c>
      <c r="S29" t="e">
        <f>AND(#REF!,"AAAAAC789xI=")</f>
        <v>#REF!</v>
      </c>
      <c r="T29" t="e">
        <f>AND(#REF!,"AAAAAC789xM=")</f>
        <v>#REF!</v>
      </c>
      <c r="U29" t="e">
        <f>AND(#REF!,"AAAAAC789xQ=")</f>
        <v>#REF!</v>
      </c>
      <c r="V29" t="e">
        <f>AND(#REF!,"AAAAAC789xU=")</f>
        <v>#REF!</v>
      </c>
      <c r="W29" t="e">
        <f>AND(#REF!,"AAAAAC789xY=")</f>
        <v>#REF!</v>
      </c>
      <c r="X29" t="e">
        <f>AND(#REF!,"AAAAAC789xc=")</f>
        <v>#REF!</v>
      </c>
      <c r="Y29" t="e">
        <f>AND(#REF!,"AAAAAC789xg=")</f>
        <v>#REF!</v>
      </c>
      <c r="Z29" t="e">
        <f>AND(#REF!,"AAAAAC789xk=")</f>
        <v>#REF!</v>
      </c>
      <c r="AA29" t="e">
        <f>AND(#REF!,"AAAAAC789xo=")</f>
        <v>#REF!</v>
      </c>
      <c r="AB29" t="e">
        <f>AND(#REF!,"AAAAAC789xs=")</f>
        <v>#REF!</v>
      </c>
      <c r="AC29" t="e">
        <f>AND(#REF!,"AAAAAC789xw=")</f>
        <v>#REF!</v>
      </c>
      <c r="AD29" t="e">
        <f>AND(#REF!,"AAAAAC789x0=")</f>
        <v>#REF!</v>
      </c>
      <c r="AE29" t="e">
        <f>AND(#REF!,"AAAAAC789x4=")</f>
        <v>#REF!</v>
      </c>
      <c r="AF29" t="e">
        <f>AND(#REF!,"AAAAAC789x8=")</f>
        <v>#REF!</v>
      </c>
      <c r="AG29" t="e">
        <f>AND(#REF!,"AAAAAC789yA=")</f>
        <v>#REF!</v>
      </c>
      <c r="AH29" t="e">
        <f>AND(#REF!,"AAAAAC789yE=")</f>
        <v>#REF!</v>
      </c>
      <c r="AI29" t="e">
        <f>AND(#REF!,"AAAAAC789yI=")</f>
        <v>#REF!</v>
      </c>
      <c r="AJ29" t="e">
        <f>AND(#REF!,"AAAAAC789yM=")</f>
        <v>#REF!</v>
      </c>
      <c r="AK29" t="e">
        <f>IF(#REF!,"AAAAAC789yQ=",0)</f>
        <v>#REF!</v>
      </c>
      <c r="AL29" t="e">
        <f>AND(#REF!,"AAAAAC789yU=")</f>
        <v>#REF!</v>
      </c>
      <c r="AM29" t="e">
        <f>AND(#REF!,"AAAAAC789yY=")</f>
        <v>#REF!</v>
      </c>
      <c r="AN29" t="e">
        <f>AND(#REF!,"AAAAAC789yc=")</f>
        <v>#REF!</v>
      </c>
      <c r="AO29" t="e">
        <f>AND(#REF!,"AAAAAC789yg=")</f>
        <v>#REF!</v>
      </c>
      <c r="AP29" t="e">
        <f>AND(#REF!,"AAAAAC789yk=")</f>
        <v>#REF!</v>
      </c>
      <c r="AQ29" t="e">
        <f>AND(#REF!,"AAAAAC789yo=")</f>
        <v>#REF!</v>
      </c>
      <c r="AR29" t="e">
        <f>AND(#REF!,"AAAAAC789ys=")</f>
        <v>#REF!</v>
      </c>
      <c r="AS29" t="e">
        <f>AND(#REF!,"AAAAAC789yw=")</f>
        <v>#REF!</v>
      </c>
      <c r="AT29" t="e">
        <f>AND(#REF!,"AAAAAC789y0=")</f>
        <v>#REF!</v>
      </c>
      <c r="AU29" t="e">
        <f>AND(#REF!,"AAAAAC789y4=")</f>
        <v>#REF!</v>
      </c>
      <c r="AV29" t="e">
        <f>AND(#REF!,"AAAAAC789y8=")</f>
        <v>#REF!</v>
      </c>
      <c r="AW29" t="e">
        <f>AND(#REF!,"AAAAAC789zA=")</f>
        <v>#REF!</v>
      </c>
      <c r="AX29" t="e">
        <f>AND(#REF!,"AAAAAC789zE=")</f>
        <v>#REF!</v>
      </c>
      <c r="AY29" t="e">
        <f>AND(#REF!,"AAAAAC789zI=")</f>
        <v>#REF!</v>
      </c>
      <c r="AZ29" t="e">
        <f>AND(#REF!,"AAAAAC789zM=")</f>
        <v>#REF!</v>
      </c>
      <c r="BA29" t="e">
        <f>AND(#REF!,"AAAAAC789zQ=")</f>
        <v>#REF!</v>
      </c>
      <c r="BB29" t="e">
        <f>AND(#REF!,"AAAAAC789zU=")</f>
        <v>#REF!</v>
      </c>
      <c r="BC29" t="e">
        <f>AND(#REF!,"AAAAAC789zY=")</f>
        <v>#REF!</v>
      </c>
      <c r="BD29" t="e">
        <f>AND(#REF!,"AAAAAC789zc=")</f>
        <v>#REF!</v>
      </c>
      <c r="BE29" t="e">
        <f>AND(#REF!,"AAAAAC789zg=")</f>
        <v>#REF!</v>
      </c>
      <c r="BF29" t="e">
        <f>AND(#REF!,"AAAAAC789zk=")</f>
        <v>#REF!</v>
      </c>
      <c r="BG29" t="e">
        <f>AND(#REF!,"AAAAAC789zo=")</f>
        <v>#REF!</v>
      </c>
      <c r="BH29" t="e">
        <f>AND(#REF!,"AAAAAC789zs=")</f>
        <v>#REF!</v>
      </c>
      <c r="BI29" t="e">
        <f>AND(#REF!,"AAAAAC789zw=")</f>
        <v>#REF!</v>
      </c>
      <c r="BJ29" t="e">
        <f>AND(#REF!,"AAAAAC789z0=")</f>
        <v>#REF!</v>
      </c>
      <c r="BK29" t="e">
        <f>AND(#REF!,"AAAAAC789z4=")</f>
        <v>#REF!</v>
      </c>
      <c r="BL29" t="e">
        <f>IF(#REF!,"AAAAAC789z8=",0)</f>
        <v>#REF!</v>
      </c>
      <c r="BM29" t="e">
        <f>AND(#REF!,"AAAAAC7890A=")</f>
        <v>#REF!</v>
      </c>
      <c r="BN29" t="e">
        <f>AND(#REF!,"AAAAAC7890E=")</f>
        <v>#REF!</v>
      </c>
      <c r="BO29" t="e">
        <f>AND(#REF!,"AAAAAC7890I=")</f>
        <v>#REF!</v>
      </c>
      <c r="BP29" t="e">
        <f>AND(#REF!,"AAAAAC7890M=")</f>
        <v>#REF!</v>
      </c>
      <c r="BQ29" t="e">
        <f>AND(#REF!,"AAAAAC7890Q=")</f>
        <v>#REF!</v>
      </c>
      <c r="BR29" t="e">
        <f>AND(#REF!,"AAAAAC7890U=")</f>
        <v>#REF!</v>
      </c>
      <c r="BS29" t="e">
        <f>AND(#REF!,"AAAAAC7890Y=")</f>
        <v>#REF!</v>
      </c>
      <c r="BT29" t="e">
        <f>AND(#REF!,"AAAAAC7890c=")</f>
        <v>#REF!</v>
      </c>
      <c r="BU29" t="e">
        <f>AND(#REF!,"AAAAAC7890g=")</f>
        <v>#REF!</v>
      </c>
      <c r="BV29" t="e">
        <f>AND(#REF!,"AAAAAC7890k=")</f>
        <v>#REF!</v>
      </c>
      <c r="BW29" t="e">
        <f>AND(#REF!,"AAAAAC7890o=")</f>
        <v>#REF!</v>
      </c>
      <c r="BX29" t="e">
        <f>AND(#REF!,"AAAAAC7890s=")</f>
        <v>#REF!</v>
      </c>
      <c r="BY29" t="e">
        <f>AND(#REF!,"AAAAAC7890w=")</f>
        <v>#REF!</v>
      </c>
      <c r="BZ29" t="e">
        <f>AND(#REF!,"AAAAAC78900=")</f>
        <v>#REF!</v>
      </c>
      <c r="CA29" t="e">
        <f>AND(#REF!,"AAAAAC78904=")</f>
        <v>#REF!</v>
      </c>
      <c r="CB29" t="e">
        <f>AND(#REF!,"AAAAAC78908=")</f>
        <v>#REF!</v>
      </c>
      <c r="CC29" t="e">
        <f>AND(#REF!,"AAAAAC7891A=")</f>
        <v>#REF!</v>
      </c>
      <c r="CD29" t="e">
        <f>AND(#REF!,"AAAAAC7891E=")</f>
        <v>#REF!</v>
      </c>
      <c r="CE29" t="e">
        <f>AND(#REF!,"AAAAAC7891I=")</f>
        <v>#REF!</v>
      </c>
      <c r="CF29" t="e">
        <f>AND(#REF!,"AAAAAC7891M=")</f>
        <v>#REF!</v>
      </c>
      <c r="CG29" t="e">
        <f>AND(#REF!,"AAAAAC7891Q=")</f>
        <v>#REF!</v>
      </c>
      <c r="CH29" t="e">
        <f>AND(#REF!,"AAAAAC7891U=")</f>
        <v>#REF!</v>
      </c>
      <c r="CI29" t="e">
        <f>AND(#REF!,"AAAAAC7891Y=")</f>
        <v>#REF!</v>
      </c>
      <c r="CJ29" t="e">
        <f>AND(#REF!,"AAAAAC7891c=")</f>
        <v>#REF!</v>
      </c>
      <c r="CK29" t="e">
        <f>AND(#REF!,"AAAAAC7891g=")</f>
        <v>#REF!</v>
      </c>
      <c r="CL29" t="e">
        <f>AND(#REF!,"AAAAAC7891k=")</f>
        <v>#REF!</v>
      </c>
      <c r="CM29" t="e">
        <f>IF(#REF!,"AAAAAC7891o=",0)</f>
        <v>#REF!</v>
      </c>
      <c r="CN29" t="e">
        <f>AND(#REF!,"AAAAAC7891s=")</f>
        <v>#REF!</v>
      </c>
      <c r="CO29" t="e">
        <f>AND(#REF!,"AAAAAC7891w=")</f>
        <v>#REF!</v>
      </c>
      <c r="CP29" t="e">
        <f>AND(#REF!,"AAAAAC78910=")</f>
        <v>#REF!</v>
      </c>
      <c r="CQ29" t="e">
        <f>AND(#REF!,"AAAAAC78914=")</f>
        <v>#REF!</v>
      </c>
      <c r="CR29" t="e">
        <f>AND(#REF!,"AAAAAC78918=")</f>
        <v>#REF!</v>
      </c>
      <c r="CS29" t="e">
        <f>AND(#REF!,"AAAAAC7892A=")</f>
        <v>#REF!</v>
      </c>
      <c r="CT29" t="e">
        <f>AND(#REF!,"AAAAAC7892E=")</f>
        <v>#REF!</v>
      </c>
      <c r="CU29" t="e">
        <f>AND(#REF!,"AAAAAC7892I=")</f>
        <v>#REF!</v>
      </c>
      <c r="CV29" t="e">
        <f>AND(#REF!,"AAAAAC7892M=")</f>
        <v>#REF!</v>
      </c>
      <c r="CW29" t="e">
        <f>AND(#REF!,"AAAAAC7892Q=")</f>
        <v>#REF!</v>
      </c>
      <c r="CX29" t="e">
        <f>AND(#REF!,"AAAAAC7892U=")</f>
        <v>#REF!</v>
      </c>
      <c r="CY29" t="e">
        <f>AND(#REF!,"AAAAAC7892Y=")</f>
        <v>#REF!</v>
      </c>
      <c r="CZ29" t="e">
        <f>AND(#REF!,"AAAAAC7892c=")</f>
        <v>#REF!</v>
      </c>
      <c r="DA29" t="e">
        <f>AND(#REF!,"AAAAAC7892g=")</f>
        <v>#REF!</v>
      </c>
      <c r="DB29" t="e">
        <f>AND(#REF!,"AAAAAC7892k=")</f>
        <v>#REF!</v>
      </c>
      <c r="DC29" t="e">
        <f>AND(#REF!,"AAAAAC7892o=")</f>
        <v>#REF!</v>
      </c>
      <c r="DD29" t="e">
        <f>AND(#REF!,"AAAAAC7892s=")</f>
        <v>#REF!</v>
      </c>
      <c r="DE29" t="e">
        <f>AND(#REF!,"AAAAAC7892w=")</f>
        <v>#REF!</v>
      </c>
      <c r="DF29" t="e">
        <f>AND(#REF!,"AAAAAC78920=")</f>
        <v>#REF!</v>
      </c>
      <c r="DG29" t="e">
        <f>AND(#REF!,"AAAAAC78924=")</f>
        <v>#REF!</v>
      </c>
      <c r="DH29" t="e">
        <f>AND(#REF!,"AAAAAC78928=")</f>
        <v>#REF!</v>
      </c>
      <c r="DI29" t="e">
        <f>AND(#REF!,"AAAAAC7893A=")</f>
        <v>#REF!</v>
      </c>
      <c r="DJ29" t="e">
        <f>AND(#REF!,"AAAAAC7893E=")</f>
        <v>#REF!</v>
      </c>
      <c r="DK29" t="e">
        <f>AND(#REF!,"AAAAAC7893I=")</f>
        <v>#REF!</v>
      </c>
      <c r="DL29" t="e">
        <f>AND(#REF!,"AAAAAC7893M=")</f>
        <v>#REF!</v>
      </c>
      <c r="DM29" t="e">
        <f>AND(#REF!,"AAAAAC7893Q=")</f>
        <v>#REF!</v>
      </c>
      <c r="DN29" t="e">
        <f>IF(#REF!,"AAAAAC7893U=",0)</f>
        <v>#REF!</v>
      </c>
      <c r="DO29" t="e">
        <f>AND(#REF!,"AAAAAC7893Y=")</f>
        <v>#REF!</v>
      </c>
      <c r="DP29" t="e">
        <f>AND(#REF!,"AAAAAC7893c=")</f>
        <v>#REF!</v>
      </c>
      <c r="DQ29" t="e">
        <f>AND(#REF!,"AAAAAC7893g=")</f>
        <v>#REF!</v>
      </c>
      <c r="DR29" t="e">
        <f>AND(#REF!,"AAAAAC7893k=")</f>
        <v>#REF!</v>
      </c>
      <c r="DS29" t="e">
        <f>AND(#REF!,"AAAAAC7893o=")</f>
        <v>#REF!</v>
      </c>
      <c r="DT29" t="e">
        <f>AND(#REF!,"AAAAAC7893s=")</f>
        <v>#REF!</v>
      </c>
      <c r="DU29" t="e">
        <f>AND(#REF!,"AAAAAC7893w=")</f>
        <v>#REF!</v>
      </c>
      <c r="DV29" t="e">
        <f>AND(#REF!,"AAAAAC78930=")</f>
        <v>#REF!</v>
      </c>
      <c r="DW29" t="e">
        <f>AND(#REF!,"AAAAAC78934=")</f>
        <v>#REF!</v>
      </c>
      <c r="DX29" t="e">
        <f>AND(#REF!,"AAAAAC78938=")</f>
        <v>#REF!</v>
      </c>
      <c r="DY29" t="e">
        <f>AND(#REF!,"AAAAAC7894A=")</f>
        <v>#REF!</v>
      </c>
      <c r="DZ29" t="e">
        <f>AND(#REF!,"AAAAAC7894E=")</f>
        <v>#REF!</v>
      </c>
      <c r="EA29" t="e">
        <f>AND(#REF!,"AAAAAC7894I=")</f>
        <v>#REF!</v>
      </c>
      <c r="EB29" t="e">
        <f>AND(#REF!,"AAAAAC7894M=")</f>
        <v>#REF!</v>
      </c>
      <c r="EC29" t="e">
        <f>AND(#REF!,"AAAAAC7894Q=")</f>
        <v>#REF!</v>
      </c>
      <c r="ED29" t="e">
        <f>AND(#REF!,"AAAAAC7894U=")</f>
        <v>#REF!</v>
      </c>
      <c r="EE29" t="e">
        <f>AND(#REF!,"AAAAAC7894Y=")</f>
        <v>#REF!</v>
      </c>
      <c r="EF29" t="e">
        <f>AND(#REF!,"AAAAAC7894c=")</f>
        <v>#REF!</v>
      </c>
      <c r="EG29" t="e">
        <f>AND(#REF!,"AAAAAC7894g=")</f>
        <v>#REF!</v>
      </c>
      <c r="EH29" t="e">
        <f>AND(#REF!,"AAAAAC7894k=")</f>
        <v>#REF!</v>
      </c>
      <c r="EI29" t="e">
        <f>AND(#REF!,"AAAAAC7894o=")</f>
        <v>#REF!</v>
      </c>
      <c r="EJ29" t="e">
        <f>AND(#REF!,"AAAAAC7894s=")</f>
        <v>#REF!</v>
      </c>
      <c r="EK29" t="e">
        <f>AND(#REF!,"AAAAAC7894w=")</f>
        <v>#REF!</v>
      </c>
      <c r="EL29" t="e">
        <f>AND(#REF!,"AAAAAC78940=")</f>
        <v>#REF!</v>
      </c>
      <c r="EM29" t="e">
        <f>AND(#REF!,"AAAAAC78944=")</f>
        <v>#REF!</v>
      </c>
      <c r="EN29" t="e">
        <f>AND(#REF!,"AAAAAC78948=")</f>
        <v>#REF!</v>
      </c>
      <c r="EO29" t="e">
        <f>IF(#REF!,"AAAAAC7895A=",0)</f>
        <v>#REF!</v>
      </c>
      <c r="EP29" t="e">
        <f>AND(#REF!,"AAAAAC7895E=")</f>
        <v>#REF!</v>
      </c>
      <c r="EQ29" t="e">
        <f>AND(#REF!,"AAAAAC7895I=")</f>
        <v>#REF!</v>
      </c>
      <c r="ER29" t="e">
        <f>AND(#REF!,"AAAAAC7895M=")</f>
        <v>#REF!</v>
      </c>
      <c r="ES29" t="e">
        <f>AND(#REF!,"AAAAAC7895Q=")</f>
        <v>#REF!</v>
      </c>
      <c r="ET29" t="e">
        <f>AND(#REF!,"AAAAAC7895U=")</f>
        <v>#REF!</v>
      </c>
      <c r="EU29" t="e">
        <f>AND(#REF!,"AAAAAC7895Y=")</f>
        <v>#REF!</v>
      </c>
      <c r="EV29" t="e">
        <f>AND(#REF!,"AAAAAC7895c=")</f>
        <v>#REF!</v>
      </c>
      <c r="EW29" t="e">
        <f>AND(#REF!,"AAAAAC7895g=")</f>
        <v>#REF!</v>
      </c>
      <c r="EX29" t="e">
        <f>AND(#REF!,"AAAAAC7895k=")</f>
        <v>#REF!</v>
      </c>
      <c r="EY29" t="e">
        <f>AND(#REF!,"AAAAAC7895o=")</f>
        <v>#REF!</v>
      </c>
      <c r="EZ29" t="e">
        <f>AND(#REF!,"AAAAAC7895s=")</f>
        <v>#REF!</v>
      </c>
      <c r="FA29" t="e">
        <f>AND(#REF!,"AAAAAC7895w=")</f>
        <v>#REF!</v>
      </c>
      <c r="FB29" t="e">
        <f>AND(#REF!,"AAAAAC78950=")</f>
        <v>#REF!</v>
      </c>
      <c r="FC29" t="e">
        <f>AND(#REF!,"AAAAAC78954=")</f>
        <v>#REF!</v>
      </c>
      <c r="FD29" t="e">
        <f>AND(#REF!,"AAAAAC78958=")</f>
        <v>#REF!</v>
      </c>
      <c r="FE29" t="e">
        <f>AND(#REF!,"AAAAAC7896A=")</f>
        <v>#REF!</v>
      </c>
      <c r="FF29" t="e">
        <f>AND(#REF!,"AAAAAC7896E=")</f>
        <v>#REF!</v>
      </c>
      <c r="FG29" t="e">
        <f>AND(#REF!,"AAAAAC7896I=")</f>
        <v>#REF!</v>
      </c>
      <c r="FH29" t="e">
        <f>AND(#REF!,"AAAAAC7896M=")</f>
        <v>#REF!</v>
      </c>
      <c r="FI29" t="e">
        <f>AND(#REF!,"AAAAAC7896Q=")</f>
        <v>#REF!</v>
      </c>
      <c r="FJ29" t="e">
        <f>AND(#REF!,"AAAAAC7896U=")</f>
        <v>#REF!</v>
      </c>
      <c r="FK29" t="e">
        <f>AND(#REF!,"AAAAAC7896Y=")</f>
        <v>#REF!</v>
      </c>
      <c r="FL29" t="e">
        <f>AND(#REF!,"AAAAAC7896c=")</f>
        <v>#REF!</v>
      </c>
      <c r="FM29" t="e">
        <f>AND(#REF!,"AAAAAC7896g=")</f>
        <v>#REF!</v>
      </c>
      <c r="FN29" t="e">
        <f>AND(#REF!,"AAAAAC7896k=")</f>
        <v>#REF!</v>
      </c>
      <c r="FO29" t="e">
        <f>AND(#REF!,"AAAAAC7896o=")</f>
        <v>#REF!</v>
      </c>
      <c r="FP29" t="e">
        <f>IF(#REF!,"AAAAAC7896s=",0)</f>
        <v>#REF!</v>
      </c>
      <c r="FQ29" t="e">
        <f>AND(#REF!,"AAAAAC7896w=")</f>
        <v>#REF!</v>
      </c>
      <c r="FR29" t="e">
        <f>AND(#REF!,"AAAAAC78960=")</f>
        <v>#REF!</v>
      </c>
      <c r="FS29" t="e">
        <f>AND(#REF!,"AAAAAC78964=")</f>
        <v>#REF!</v>
      </c>
      <c r="FT29" t="e">
        <f>AND(#REF!,"AAAAAC78968=")</f>
        <v>#REF!</v>
      </c>
      <c r="FU29" t="e">
        <f>AND(#REF!,"AAAAAC7897A=")</f>
        <v>#REF!</v>
      </c>
      <c r="FV29" t="e">
        <f>AND(#REF!,"AAAAAC7897E=")</f>
        <v>#REF!</v>
      </c>
      <c r="FW29" t="e">
        <f>AND(#REF!,"AAAAAC7897I=")</f>
        <v>#REF!</v>
      </c>
      <c r="FX29" t="e">
        <f>AND(#REF!,"AAAAAC7897M=")</f>
        <v>#REF!</v>
      </c>
      <c r="FY29" t="e">
        <f>AND(#REF!,"AAAAAC7897Q=")</f>
        <v>#REF!</v>
      </c>
      <c r="FZ29" t="e">
        <f>AND(#REF!,"AAAAAC7897U=")</f>
        <v>#REF!</v>
      </c>
      <c r="GA29" t="e">
        <f>AND(#REF!,"AAAAAC7897Y=")</f>
        <v>#REF!</v>
      </c>
      <c r="GB29" t="e">
        <f>AND(#REF!,"AAAAAC7897c=")</f>
        <v>#REF!</v>
      </c>
      <c r="GC29" t="e">
        <f>AND(#REF!,"AAAAAC7897g=")</f>
        <v>#REF!</v>
      </c>
      <c r="GD29" t="e">
        <f>AND(#REF!,"AAAAAC7897k=")</f>
        <v>#REF!</v>
      </c>
      <c r="GE29" t="e">
        <f>AND(#REF!,"AAAAAC7897o=")</f>
        <v>#REF!</v>
      </c>
      <c r="GF29" t="e">
        <f>AND(#REF!,"AAAAAC7897s=")</f>
        <v>#REF!</v>
      </c>
      <c r="GG29" t="e">
        <f>AND(#REF!,"AAAAAC7897w=")</f>
        <v>#REF!</v>
      </c>
      <c r="GH29" t="e">
        <f>AND(#REF!,"AAAAAC78970=")</f>
        <v>#REF!</v>
      </c>
      <c r="GI29" t="e">
        <f>AND(#REF!,"AAAAAC78974=")</f>
        <v>#REF!</v>
      </c>
      <c r="GJ29" t="e">
        <f>AND(#REF!,"AAAAAC78978=")</f>
        <v>#REF!</v>
      </c>
      <c r="GK29" t="e">
        <f>AND(#REF!,"AAAAAC7898A=")</f>
        <v>#REF!</v>
      </c>
      <c r="GL29" t="e">
        <f>AND(#REF!,"AAAAAC7898E=")</f>
        <v>#REF!</v>
      </c>
      <c r="GM29" t="e">
        <f>AND(#REF!,"AAAAAC7898I=")</f>
        <v>#REF!</v>
      </c>
      <c r="GN29" t="e">
        <f>AND(#REF!,"AAAAAC7898M=")</f>
        <v>#REF!</v>
      </c>
      <c r="GO29" t="e">
        <f>AND(#REF!,"AAAAAC7898Q=")</f>
        <v>#REF!</v>
      </c>
      <c r="GP29" t="e">
        <f>AND(#REF!,"AAAAAC7898U=")</f>
        <v>#REF!</v>
      </c>
      <c r="GQ29" t="e">
        <f>IF(#REF!,"AAAAAC7898Y=",0)</f>
        <v>#REF!</v>
      </c>
      <c r="GR29" t="e">
        <f>AND(#REF!,"AAAAAC7898c=")</f>
        <v>#REF!</v>
      </c>
      <c r="GS29" t="e">
        <f>AND(#REF!,"AAAAAC7898g=")</f>
        <v>#REF!</v>
      </c>
      <c r="GT29" t="e">
        <f>AND(#REF!,"AAAAAC7898k=")</f>
        <v>#REF!</v>
      </c>
      <c r="GU29" t="e">
        <f>AND(#REF!,"AAAAAC7898o=")</f>
        <v>#REF!</v>
      </c>
      <c r="GV29" t="e">
        <f>AND(#REF!,"AAAAAC7898s=")</f>
        <v>#REF!</v>
      </c>
      <c r="GW29" t="e">
        <f>AND(#REF!,"AAAAAC7898w=")</f>
        <v>#REF!</v>
      </c>
      <c r="GX29" t="e">
        <f>AND(#REF!,"AAAAAC78980=")</f>
        <v>#REF!</v>
      </c>
      <c r="GY29" t="e">
        <f>AND(#REF!,"AAAAAC78984=")</f>
        <v>#REF!</v>
      </c>
      <c r="GZ29" t="e">
        <f>AND(#REF!,"AAAAAC78988=")</f>
        <v>#REF!</v>
      </c>
      <c r="HA29" t="e">
        <f>AND(#REF!,"AAAAAC7899A=")</f>
        <v>#REF!</v>
      </c>
      <c r="HB29" t="e">
        <f>AND(#REF!,"AAAAAC7899E=")</f>
        <v>#REF!</v>
      </c>
      <c r="HC29" t="e">
        <f>AND(#REF!,"AAAAAC7899I=")</f>
        <v>#REF!</v>
      </c>
      <c r="HD29" t="e">
        <f>AND(#REF!,"AAAAAC7899M=")</f>
        <v>#REF!</v>
      </c>
      <c r="HE29" t="e">
        <f>AND(#REF!,"AAAAAC7899Q=")</f>
        <v>#REF!</v>
      </c>
      <c r="HF29" t="e">
        <f>AND(#REF!,"AAAAAC7899U=")</f>
        <v>#REF!</v>
      </c>
      <c r="HG29" t="e">
        <f>AND(#REF!,"AAAAAC7899Y=")</f>
        <v>#REF!</v>
      </c>
      <c r="HH29" t="e">
        <f>AND(#REF!,"AAAAAC7899c=")</f>
        <v>#REF!</v>
      </c>
      <c r="HI29" t="e">
        <f>AND(#REF!,"AAAAAC7899g=")</f>
        <v>#REF!</v>
      </c>
      <c r="HJ29" t="e">
        <f>AND(#REF!,"AAAAAC7899k=")</f>
        <v>#REF!</v>
      </c>
      <c r="HK29" t="e">
        <f>AND(#REF!,"AAAAAC7899o=")</f>
        <v>#REF!</v>
      </c>
      <c r="HL29" t="e">
        <f>AND(#REF!,"AAAAAC7899s=")</f>
        <v>#REF!</v>
      </c>
      <c r="HM29" t="e">
        <f>AND(#REF!,"AAAAAC7899w=")</f>
        <v>#REF!</v>
      </c>
      <c r="HN29" t="e">
        <f>AND(#REF!,"AAAAAC78990=")</f>
        <v>#REF!</v>
      </c>
      <c r="HO29" t="e">
        <f>AND(#REF!,"AAAAAC78994=")</f>
        <v>#REF!</v>
      </c>
      <c r="HP29" t="e">
        <f>AND(#REF!,"AAAAAC78998=")</f>
        <v>#REF!</v>
      </c>
      <c r="HQ29" t="e">
        <f>AND(#REF!,"AAAAAC789+A=")</f>
        <v>#REF!</v>
      </c>
      <c r="HR29" t="e">
        <f>IF(#REF!,"AAAAAC789+E=",0)</f>
        <v>#REF!</v>
      </c>
      <c r="HS29" t="e">
        <f>AND(#REF!,"AAAAAC789+I=")</f>
        <v>#REF!</v>
      </c>
      <c r="HT29" t="e">
        <f>AND(#REF!,"AAAAAC789+M=")</f>
        <v>#REF!</v>
      </c>
      <c r="HU29" t="e">
        <f>AND(#REF!,"AAAAAC789+Q=")</f>
        <v>#REF!</v>
      </c>
      <c r="HV29" t="e">
        <f>AND(#REF!,"AAAAAC789+U=")</f>
        <v>#REF!</v>
      </c>
      <c r="HW29" t="e">
        <f>AND(#REF!,"AAAAAC789+Y=")</f>
        <v>#REF!</v>
      </c>
      <c r="HX29" t="e">
        <f>AND(#REF!,"AAAAAC789+c=")</f>
        <v>#REF!</v>
      </c>
      <c r="HY29" t="e">
        <f>AND(#REF!,"AAAAAC789+g=")</f>
        <v>#REF!</v>
      </c>
      <c r="HZ29" t="e">
        <f>AND(#REF!,"AAAAAC789+k=")</f>
        <v>#REF!</v>
      </c>
      <c r="IA29" t="e">
        <f>AND(#REF!,"AAAAAC789+o=")</f>
        <v>#REF!</v>
      </c>
      <c r="IB29" t="e">
        <f>AND(#REF!,"AAAAAC789+s=")</f>
        <v>#REF!</v>
      </c>
      <c r="IC29" t="e">
        <f>AND(#REF!,"AAAAAC789+w=")</f>
        <v>#REF!</v>
      </c>
      <c r="ID29" t="e">
        <f>AND(#REF!,"AAAAAC789+0=")</f>
        <v>#REF!</v>
      </c>
      <c r="IE29" t="e">
        <f>AND(#REF!,"AAAAAC789+4=")</f>
        <v>#REF!</v>
      </c>
      <c r="IF29" t="e">
        <f>AND(#REF!,"AAAAAC789+8=")</f>
        <v>#REF!</v>
      </c>
      <c r="IG29" t="e">
        <f>AND(#REF!,"AAAAAC789/A=")</f>
        <v>#REF!</v>
      </c>
      <c r="IH29" t="e">
        <f>AND(#REF!,"AAAAAC789/E=")</f>
        <v>#REF!</v>
      </c>
      <c r="II29" t="e">
        <f>AND(#REF!,"AAAAAC789/I=")</f>
        <v>#REF!</v>
      </c>
      <c r="IJ29" t="e">
        <f>AND(#REF!,"AAAAAC789/M=")</f>
        <v>#REF!</v>
      </c>
      <c r="IK29" t="e">
        <f>AND(#REF!,"AAAAAC789/Q=")</f>
        <v>#REF!</v>
      </c>
      <c r="IL29" t="e">
        <f>AND(#REF!,"AAAAAC789/U=")</f>
        <v>#REF!</v>
      </c>
      <c r="IM29" t="e">
        <f>AND(#REF!,"AAAAAC789/Y=")</f>
        <v>#REF!</v>
      </c>
      <c r="IN29" t="e">
        <f>AND(#REF!,"AAAAAC789/c=")</f>
        <v>#REF!</v>
      </c>
      <c r="IO29" t="e">
        <f>AND(#REF!,"AAAAAC789/g=")</f>
        <v>#REF!</v>
      </c>
      <c r="IP29" t="e">
        <f>AND(#REF!,"AAAAAC789/k=")</f>
        <v>#REF!</v>
      </c>
      <c r="IQ29" t="e">
        <f>AND(#REF!,"AAAAAC789/o=")</f>
        <v>#REF!</v>
      </c>
      <c r="IR29" t="e">
        <f>AND(#REF!,"AAAAAC789/s=")</f>
        <v>#REF!</v>
      </c>
      <c r="IS29" t="e">
        <f>IF(#REF!,"AAAAAC789/w=",0)</f>
        <v>#REF!</v>
      </c>
      <c r="IT29" t="e">
        <f>AND(#REF!,"AAAAAC789/0=")</f>
        <v>#REF!</v>
      </c>
      <c r="IU29" t="e">
        <f>AND(#REF!,"AAAAAC789/4=")</f>
        <v>#REF!</v>
      </c>
      <c r="IV29" t="e">
        <f>AND(#REF!,"AAAAAC789/8=")</f>
        <v>#REF!</v>
      </c>
    </row>
    <row r="30" spans="1:256" x14ac:dyDescent="0.2">
      <c r="A30" t="e">
        <f>AND(#REF!,"AAAAAHmt7AA=")</f>
        <v>#REF!</v>
      </c>
      <c r="B30" t="e">
        <f>AND(#REF!,"AAAAAHmt7AE=")</f>
        <v>#REF!</v>
      </c>
      <c r="C30" t="e">
        <f>AND(#REF!,"AAAAAHmt7AI=")</f>
        <v>#REF!</v>
      </c>
      <c r="D30" t="e">
        <f>AND(#REF!,"AAAAAHmt7AM=")</f>
        <v>#REF!</v>
      </c>
      <c r="E30" t="e">
        <f>AND(#REF!,"AAAAAHmt7AQ=")</f>
        <v>#REF!</v>
      </c>
      <c r="F30" t="e">
        <f>AND(#REF!,"AAAAAHmt7AU=")</f>
        <v>#REF!</v>
      </c>
      <c r="G30" t="e">
        <f>AND(#REF!,"AAAAAHmt7AY=")</f>
        <v>#REF!</v>
      </c>
      <c r="H30" t="e">
        <f>AND(#REF!,"AAAAAHmt7Ac=")</f>
        <v>#REF!</v>
      </c>
      <c r="I30" t="e">
        <f>AND(#REF!,"AAAAAHmt7Ag=")</f>
        <v>#REF!</v>
      </c>
      <c r="J30" t="e">
        <f>AND(#REF!,"AAAAAHmt7Ak=")</f>
        <v>#REF!</v>
      </c>
      <c r="K30" t="e">
        <f>AND(#REF!,"AAAAAHmt7Ao=")</f>
        <v>#REF!</v>
      </c>
      <c r="L30" t="e">
        <f>AND(#REF!,"AAAAAHmt7As=")</f>
        <v>#REF!</v>
      </c>
      <c r="M30" t="e">
        <f>AND(#REF!,"AAAAAHmt7Aw=")</f>
        <v>#REF!</v>
      </c>
      <c r="N30" t="e">
        <f>AND(#REF!,"AAAAAHmt7A0=")</f>
        <v>#REF!</v>
      </c>
      <c r="O30" t="e">
        <f>AND(#REF!,"AAAAAHmt7A4=")</f>
        <v>#REF!</v>
      </c>
      <c r="P30" t="e">
        <f>AND(#REF!,"AAAAAHmt7A8=")</f>
        <v>#REF!</v>
      </c>
      <c r="Q30" t="e">
        <f>AND(#REF!,"AAAAAHmt7BA=")</f>
        <v>#REF!</v>
      </c>
      <c r="R30" t="e">
        <f>AND(#REF!,"AAAAAHmt7BE=")</f>
        <v>#REF!</v>
      </c>
      <c r="S30" t="e">
        <f>AND(#REF!,"AAAAAHmt7BI=")</f>
        <v>#REF!</v>
      </c>
      <c r="T30" t="e">
        <f>AND(#REF!,"AAAAAHmt7BM=")</f>
        <v>#REF!</v>
      </c>
      <c r="U30" t="e">
        <f>AND(#REF!,"AAAAAHmt7BQ=")</f>
        <v>#REF!</v>
      </c>
      <c r="V30" t="e">
        <f>AND(#REF!,"AAAAAHmt7BU=")</f>
        <v>#REF!</v>
      </c>
      <c r="W30" t="e">
        <f>AND(#REF!,"AAAAAHmt7BY=")</f>
        <v>#REF!</v>
      </c>
      <c r="X30" t="e">
        <f>IF(#REF!,"AAAAAHmt7Bc=",0)</f>
        <v>#REF!</v>
      </c>
      <c r="Y30" t="e">
        <f>AND(#REF!,"AAAAAHmt7Bg=")</f>
        <v>#REF!</v>
      </c>
      <c r="Z30" t="e">
        <f>AND(#REF!,"AAAAAHmt7Bk=")</f>
        <v>#REF!</v>
      </c>
      <c r="AA30" t="e">
        <f>AND(#REF!,"AAAAAHmt7Bo=")</f>
        <v>#REF!</v>
      </c>
      <c r="AB30" t="e">
        <f>AND(#REF!,"AAAAAHmt7Bs=")</f>
        <v>#REF!</v>
      </c>
      <c r="AC30" t="e">
        <f>AND(#REF!,"AAAAAHmt7Bw=")</f>
        <v>#REF!</v>
      </c>
      <c r="AD30" t="e">
        <f>AND(#REF!,"AAAAAHmt7B0=")</f>
        <v>#REF!</v>
      </c>
      <c r="AE30" t="e">
        <f>AND(#REF!,"AAAAAHmt7B4=")</f>
        <v>#REF!</v>
      </c>
      <c r="AF30" t="e">
        <f>AND(#REF!,"AAAAAHmt7B8=")</f>
        <v>#REF!</v>
      </c>
      <c r="AG30" t="e">
        <f>AND(#REF!,"AAAAAHmt7CA=")</f>
        <v>#REF!</v>
      </c>
      <c r="AH30" t="e">
        <f>AND(#REF!,"AAAAAHmt7CE=")</f>
        <v>#REF!</v>
      </c>
      <c r="AI30" t="e">
        <f>AND(#REF!,"AAAAAHmt7CI=")</f>
        <v>#REF!</v>
      </c>
      <c r="AJ30" t="e">
        <f>AND(#REF!,"AAAAAHmt7CM=")</f>
        <v>#REF!</v>
      </c>
      <c r="AK30" t="e">
        <f>AND(#REF!,"AAAAAHmt7CQ=")</f>
        <v>#REF!</v>
      </c>
      <c r="AL30" t="e">
        <f>AND(#REF!,"AAAAAHmt7CU=")</f>
        <v>#REF!</v>
      </c>
      <c r="AM30" t="e">
        <f>AND(#REF!,"AAAAAHmt7CY=")</f>
        <v>#REF!</v>
      </c>
      <c r="AN30" t="e">
        <f>AND(#REF!,"AAAAAHmt7Cc=")</f>
        <v>#REF!</v>
      </c>
      <c r="AO30" t="e">
        <f>AND(#REF!,"AAAAAHmt7Cg=")</f>
        <v>#REF!</v>
      </c>
      <c r="AP30" t="e">
        <f>AND(#REF!,"AAAAAHmt7Ck=")</f>
        <v>#REF!</v>
      </c>
      <c r="AQ30" t="e">
        <f>AND(#REF!,"AAAAAHmt7Co=")</f>
        <v>#REF!</v>
      </c>
      <c r="AR30" t="e">
        <f>AND(#REF!,"AAAAAHmt7Cs=")</f>
        <v>#REF!</v>
      </c>
      <c r="AS30" t="e">
        <f>AND(#REF!,"AAAAAHmt7Cw=")</f>
        <v>#REF!</v>
      </c>
      <c r="AT30" t="e">
        <f>AND(#REF!,"AAAAAHmt7C0=")</f>
        <v>#REF!</v>
      </c>
      <c r="AU30" t="e">
        <f>AND(#REF!,"AAAAAHmt7C4=")</f>
        <v>#REF!</v>
      </c>
      <c r="AV30" t="e">
        <f>AND(#REF!,"AAAAAHmt7C8=")</f>
        <v>#REF!</v>
      </c>
      <c r="AW30" t="e">
        <f>AND(#REF!,"AAAAAHmt7DA=")</f>
        <v>#REF!</v>
      </c>
      <c r="AX30" t="e">
        <f>AND(#REF!,"AAAAAHmt7DE=")</f>
        <v>#REF!</v>
      </c>
      <c r="AY30" t="e">
        <f>IF(#REF!,"AAAAAHmt7DI=",0)</f>
        <v>#REF!</v>
      </c>
      <c r="AZ30" t="e">
        <f>AND(#REF!,"AAAAAHmt7DM=")</f>
        <v>#REF!</v>
      </c>
      <c r="BA30" t="e">
        <f>AND(#REF!,"AAAAAHmt7DQ=")</f>
        <v>#REF!</v>
      </c>
      <c r="BB30" t="e">
        <f>AND(#REF!,"AAAAAHmt7DU=")</f>
        <v>#REF!</v>
      </c>
      <c r="BC30" t="e">
        <f>AND(#REF!,"AAAAAHmt7DY=")</f>
        <v>#REF!</v>
      </c>
      <c r="BD30" t="e">
        <f>AND(#REF!,"AAAAAHmt7Dc=")</f>
        <v>#REF!</v>
      </c>
      <c r="BE30" t="e">
        <f>AND(#REF!,"AAAAAHmt7Dg=")</f>
        <v>#REF!</v>
      </c>
      <c r="BF30" t="e">
        <f>AND(#REF!,"AAAAAHmt7Dk=")</f>
        <v>#REF!</v>
      </c>
      <c r="BG30" t="e">
        <f>AND(#REF!,"AAAAAHmt7Do=")</f>
        <v>#REF!</v>
      </c>
      <c r="BH30" t="e">
        <f>AND(#REF!,"AAAAAHmt7Ds=")</f>
        <v>#REF!</v>
      </c>
      <c r="BI30" t="e">
        <f>AND(#REF!,"AAAAAHmt7Dw=")</f>
        <v>#REF!</v>
      </c>
      <c r="BJ30" t="e">
        <f>AND(#REF!,"AAAAAHmt7D0=")</f>
        <v>#REF!</v>
      </c>
      <c r="BK30" t="e">
        <f>AND(#REF!,"AAAAAHmt7D4=")</f>
        <v>#REF!</v>
      </c>
      <c r="BL30" t="e">
        <f>AND(#REF!,"AAAAAHmt7D8=")</f>
        <v>#REF!</v>
      </c>
      <c r="BM30" t="e">
        <f>AND(#REF!,"AAAAAHmt7EA=")</f>
        <v>#REF!</v>
      </c>
      <c r="BN30" t="e">
        <f>AND(#REF!,"AAAAAHmt7EE=")</f>
        <v>#REF!</v>
      </c>
      <c r="BO30" t="e">
        <f>AND(#REF!,"AAAAAHmt7EI=")</f>
        <v>#REF!</v>
      </c>
      <c r="BP30" t="e">
        <f>AND(#REF!,"AAAAAHmt7EM=")</f>
        <v>#REF!</v>
      </c>
      <c r="BQ30" t="e">
        <f>AND(#REF!,"AAAAAHmt7EQ=")</f>
        <v>#REF!</v>
      </c>
      <c r="BR30" t="e">
        <f>AND(#REF!,"AAAAAHmt7EU=")</f>
        <v>#REF!</v>
      </c>
      <c r="BS30" t="e">
        <f>AND(#REF!,"AAAAAHmt7EY=")</f>
        <v>#REF!</v>
      </c>
      <c r="BT30" t="e">
        <f>AND(#REF!,"AAAAAHmt7Ec=")</f>
        <v>#REF!</v>
      </c>
      <c r="BU30" t="e">
        <f>AND(#REF!,"AAAAAHmt7Eg=")</f>
        <v>#REF!</v>
      </c>
      <c r="BV30" t="e">
        <f>AND(#REF!,"AAAAAHmt7Ek=")</f>
        <v>#REF!</v>
      </c>
      <c r="BW30" t="e">
        <f>AND(#REF!,"AAAAAHmt7Eo=")</f>
        <v>#REF!</v>
      </c>
      <c r="BX30" t="e">
        <f>AND(#REF!,"AAAAAHmt7Es=")</f>
        <v>#REF!</v>
      </c>
      <c r="BY30" t="e">
        <f>AND(#REF!,"AAAAAHmt7Ew=")</f>
        <v>#REF!</v>
      </c>
      <c r="BZ30" t="e">
        <f>IF(#REF!,"AAAAAHmt7E0=",0)</f>
        <v>#REF!</v>
      </c>
      <c r="CA30" t="e">
        <f>AND(#REF!,"AAAAAHmt7E4=")</f>
        <v>#REF!</v>
      </c>
      <c r="CB30" t="e">
        <f>AND(#REF!,"AAAAAHmt7E8=")</f>
        <v>#REF!</v>
      </c>
      <c r="CC30" t="e">
        <f>AND(#REF!,"AAAAAHmt7FA=")</f>
        <v>#REF!</v>
      </c>
      <c r="CD30" t="e">
        <f>AND(#REF!,"AAAAAHmt7FE=")</f>
        <v>#REF!</v>
      </c>
      <c r="CE30" t="e">
        <f>AND(#REF!,"AAAAAHmt7FI=")</f>
        <v>#REF!</v>
      </c>
      <c r="CF30" t="e">
        <f>AND(#REF!,"AAAAAHmt7FM=")</f>
        <v>#REF!</v>
      </c>
      <c r="CG30" t="e">
        <f>AND(#REF!,"AAAAAHmt7FQ=")</f>
        <v>#REF!</v>
      </c>
      <c r="CH30" t="e">
        <f>AND(#REF!,"AAAAAHmt7FU=")</f>
        <v>#REF!</v>
      </c>
      <c r="CI30" t="e">
        <f>AND(#REF!,"AAAAAHmt7FY=")</f>
        <v>#REF!</v>
      </c>
      <c r="CJ30" t="e">
        <f>AND(#REF!,"AAAAAHmt7Fc=")</f>
        <v>#REF!</v>
      </c>
      <c r="CK30" t="e">
        <f>AND(#REF!,"AAAAAHmt7Fg=")</f>
        <v>#REF!</v>
      </c>
      <c r="CL30" t="e">
        <f>AND(#REF!,"AAAAAHmt7Fk=")</f>
        <v>#REF!</v>
      </c>
      <c r="CM30" t="e">
        <f>AND(#REF!,"AAAAAHmt7Fo=")</f>
        <v>#REF!</v>
      </c>
      <c r="CN30" t="e">
        <f>AND(#REF!,"AAAAAHmt7Fs=")</f>
        <v>#REF!</v>
      </c>
      <c r="CO30" t="e">
        <f>AND(#REF!,"AAAAAHmt7Fw=")</f>
        <v>#REF!</v>
      </c>
      <c r="CP30" t="e">
        <f>AND(#REF!,"AAAAAHmt7F0=")</f>
        <v>#REF!</v>
      </c>
      <c r="CQ30" t="e">
        <f>AND(#REF!,"AAAAAHmt7F4=")</f>
        <v>#REF!</v>
      </c>
      <c r="CR30" t="e">
        <f>AND(#REF!,"AAAAAHmt7F8=")</f>
        <v>#REF!</v>
      </c>
      <c r="CS30" t="e">
        <f>AND(#REF!,"AAAAAHmt7GA=")</f>
        <v>#REF!</v>
      </c>
      <c r="CT30" t="e">
        <f>AND(#REF!,"AAAAAHmt7GE=")</f>
        <v>#REF!</v>
      </c>
      <c r="CU30" t="e">
        <f>AND(#REF!,"AAAAAHmt7GI=")</f>
        <v>#REF!</v>
      </c>
      <c r="CV30" t="e">
        <f>AND(#REF!,"AAAAAHmt7GM=")</f>
        <v>#REF!</v>
      </c>
      <c r="CW30" t="e">
        <f>AND(#REF!,"AAAAAHmt7GQ=")</f>
        <v>#REF!</v>
      </c>
      <c r="CX30" t="e">
        <f>AND(#REF!,"AAAAAHmt7GU=")</f>
        <v>#REF!</v>
      </c>
      <c r="CY30" t="e">
        <f>AND(#REF!,"AAAAAHmt7GY=")</f>
        <v>#REF!</v>
      </c>
      <c r="CZ30" t="e">
        <f>AND(#REF!,"AAAAAHmt7Gc=")</f>
        <v>#REF!</v>
      </c>
      <c r="DA30" t="e">
        <f>IF(#REF!,"AAAAAHmt7Gg=",0)</f>
        <v>#REF!</v>
      </c>
      <c r="DB30" t="e">
        <f>AND(#REF!,"AAAAAHmt7Gk=")</f>
        <v>#REF!</v>
      </c>
      <c r="DC30" t="e">
        <f>AND(#REF!,"AAAAAHmt7Go=")</f>
        <v>#REF!</v>
      </c>
      <c r="DD30" t="e">
        <f>AND(#REF!,"AAAAAHmt7Gs=")</f>
        <v>#REF!</v>
      </c>
      <c r="DE30" t="e">
        <f>AND(#REF!,"AAAAAHmt7Gw=")</f>
        <v>#REF!</v>
      </c>
      <c r="DF30" t="e">
        <f>AND(#REF!,"AAAAAHmt7G0=")</f>
        <v>#REF!</v>
      </c>
      <c r="DG30" t="e">
        <f>AND(#REF!,"AAAAAHmt7G4=")</f>
        <v>#REF!</v>
      </c>
      <c r="DH30" t="e">
        <f>AND(#REF!,"AAAAAHmt7G8=")</f>
        <v>#REF!</v>
      </c>
      <c r="DI30" t="e">
        <f>AND(#REF!,"AAAAAHmt7HA=")</f>
        <v>#REF!</v>
      </c>
      <c r="DJ30" t="e">
        <f>AND(#REF!,"AAAAAHmt7HE=")</f>
        <v>#REF!</v>
      </c>
      <c r="DK30" t="e">
        <f>AND(#REF!,"AAAAAHmt7HI=")</f>
        <v>#REF!</v>
      </c>
      <c r="DL30" t="e">
        <f>AND(#REF!,"AAAAAHmt7HM=")</f>
        <v>#REF!</v>
      </c>
      <c r="DM30" t="e">
        <f>AND(#REF!,"AAAAAHmt7HQ=")</f>
        <v>#REF!</v>
      </c>
      <c r="DN30" t="e">
        <f>AND(#REF!,"AAAAAHmt7HU=")</f>
        <v>#REF!</v>
      </c>
      <c r="DO30" t="e">
        <f>AND(#REF!,"AAAAAHmt7HY=")</f>
        <v>#REF!</v>
      </c>
      <c r="DP30" t="e">
        <f>AND(#REF!,"AAAAAHmt7Hc=")</f>
        <v>#REF!</v>
      </c>
      <c r="DQ30" t="e">
        <f>AND(#REF!,"AAAAAHmt7Hg=")</f>
        <v>#REF!</v>
      </c>
      <c r="DR30" t="e">
        <f>AND(#REF!,"AAAAAHmt7Hk=")</f>
        <v>#REF!</v>
      </c>
      <c r="DS30" t="e">
        <f>AND(#REF!,"AAAAAHmt7Ho=")</f>
        <v>#REF!</v>
      </c>
      <c r="DT30" t="e">
        <f>AND(#REF!,"AAAAAHmt7Hs=")</f>
        <v>#REF!</v>
      </c>
      <c r="DU30" t="e">
        <f>AND(#REF!,"AAAAAHmt7Hw=")</f>
        <v>#REF!</v>
      </c>
      <c r="DV30" t="e">
        <f>AND(#REF!,"AAAAAHmt7H0=")</f>
        <v>#REF!</v>
      </c>
      <c r="DW30" t="e">
        <f>AND(#REF!,"AAAAAHmt7H4=")</f>
        <v>#REF!</v>
      </c>
      <c r="DX30" t="e">
        <f>AND(#REF!,"AAAAAHmt7H8=")</f>
        <v>#REF!</v>
      </c>
      <c r="DY30" t="e">
        <f>AND(#REF!,"AAAAAHmt7IA=")</f>
        <v>#REF!</v>
      </c>
      <c r="DZ30" t="e">
        <f>AND(#REF!,"AAAAAHmt7IE=")</f>
        <v>#REF!</v>
      </c>
      <c r="EA30" t="e">
        <f>AND(#REF!,"AAAAAHmt7II=")</f>
        <v>#REF!</v>
      </c>
      <c r="EB30" t="e">
        <f>IF(#REF!,"AAAAAHmt7IM=",0)</f>
        <v>#REF!</v>
      </c>
      <c r="EC30" t="e">
        <f>AND(#REF!,"AAAAAHmt7IQ=")</f>
        <v>#REF!</v>
      </c>
      <c r="ED30" t="e">
        <f>AND(#REF!,"AAAAAHmt7IU=")</f>
        <v>#REF!</v>
      </c>
      <c r="EE30" t="e">
        <f>AND(#REF!,"AAAAAHmt7IY=")</f>
        <v>#REF!</v>
      </c>
      <c r="EF30" t="e">
        <f>AND(#REF!,"AAAAAHmt7Ic=")</f>
        <v>#REF!</v>
      </c>
      <c r="EG30" t="e">
        <f>AND(#REF!,"AAAAAHmt7Ig=")</f>
        <v>#REF!</v>
      </c>
      <c r="EH30" t="e">
        <f>AND(#REF!,"AAAAAHmt7Ik=")</f>
        <v>#REF!</v>
      </c>
      <c r="EI30" t="e">
        <f>AND(#REF!,"AAAAAHmt7Io=")</f>
        <v>#REF!</v>
      </c>
      <c r="EJ30" t="e">
        <f>AND(#REF!,"AAAAAHmt7Is=")</f>
        <v>#REF!</v>
      </c>
      <c r="EK30" t="e">
        <f>AND(#REF!,"AAAAAHmt7Iw=")</f>
        <v>#REF!</v>
      </c>
      <c r="EL30" t="e">
        <f>AND(#REF!,"AAAAAHmt7I0=")</f>
        <v>#REF!</v>
      </c>
      <c r="EM30" t="e">
        <f>AND(#REF!,"AAAAAHmt7I4=")</f>
        <v>#REF!</v>
      </c>
      <c r="EN30" t="e">
        <f>AND(#REF!,"AAAAAHmt7I8=")</f>
        <v>#REF!</v>
      </c>
      <c r="EO30" t="e">
        <f>AND(#REF!,"AAAAAHmt7JA=")</f>
        <v>#REF!</v>
      </c>
      <c r="EP30" t="e">
        <f>AND(#REF!,"AAAAAHmt7JE=")</f>
        <v>#REF!</v>
      </c>
      <c r="EQ30" t="e">
        <f>AND(#REF!,"AAAAAHmt7JI=")</f>
        <v>#REF!</v>
      </c>
      <c r="ER30" t="e">
        <f>AND(#REF!,"AAAAAHmt7JM=")</f>
        <v>#REF!</v>
      </c>
      <c r="ES30" t="e">
        <f>AND(#REF!,"AAAAAHmt7JQ=")</f>
        <v>#REF!</v>
      </c>
      <c r="ET30" t="e">
        <f>AND(#REF!,"AAAAAHmt7JU=")</f>
        <v>#REF!</v>
      </c>
      <c r="EU30" t="e">
        <f>AND(#REF!,"AAAAAHmt7JY=")</f>
        <v>#REF!</v>
      </c>
      <c r="EV30" t="e">
        <f>AND(#REF!,"AAAAAHmt7Jc=")</f>
        <v>#REF!</v>
      </c>
      <c r="EW30" t="e">
        <f>AND(#REF!,"AAAAAHmt7Jg=")</f>
        <v>#REF!</v>
      </c>
      <c r="EX30" t="e">
        <f>AND(#REF!,"AAAAAHmt7Jk=")</f>
        <v>#REF!</v>
      </c>
      <c r="EY30" t="e">
        <f>AND(#REF!,"AAAAAHmt7Jo=")</f>
        <v>#REF!</v>
      </c>
      <c r="EZ30" t="e">
        <f>AND(#REF!,"AAAAAHmt7Js=")</f>
        <v>#REF!</v>
      </c>
      <c r="FA30" t="e">
        <f>AND(#REF!,"AAAAAHmt7Jw=")</f>
        <v>#REF!</v>
      </c>
      <c r="FB30" t="e">
        <f>AND(#REF!,"AAAAAHmt7J0=")</f>
        <v>#REF!</v>
      </c>
      <c r="FC30" t="e">
        <f>IF(#REF!,"AAAAAHmt7J4=",0)</f>
        <v>#REF!</v>
      </c>
      <c r="FD30" t="e">
        <f>AND(#REF!,"AAAAAHmt7J8=")</f>
        <v>#REF!</v>
      </c>
      <c r="FE30" t="e">
        <f>AND(#REF!,"AAAAAHmt7KA=")</f>
        <v>#REF!</v>
      </c>
      <c r="FF30" t="e">
        <f>AND(#REF!,"AAAAAHmt7KE=")</f>
        <v>#REF!</v>
      </c>
      <c r="FG30" t="e">
        <f>AND(#REF!,"AAAAAHmt7KI=")</f>
        <v>#REF!</v>
      </c>
      <c r="FH30" t="e">
        <f>AND(#REF!,"AAAAAHmt7KM=")</f>
        <v>#REF!</v>
      </c>
      <c r="FI30" t="e">
        <f>AND(#REF!,"AAAAAHmt7KQ=")</f>
        <v>#REF!</v>
      </c>
      <c r="FJ30" t="e">
        <f>AND(#REF!,"AAAAAHmt7KU=")</f>
        <v>#REF!</v>
      </c>
      <c r="FK30" t="e">
        <f>AND(#REF!,"AAAAAHmt7KY=")</f>
        <v>#REF!</v>
      </c>
      <c r="FL30" t="e">
        <f>AND(#REF!,"AAAAAHmt7Kc=")</f>
        <v>#REF!</v>
      </c>
      <c r="FM30" t="e">
        <f>AND(#REF!,"AAAAAHmt7Kg=")</f>
        <v>#REF!</v>
      </c>
      <c r="FN30" t="e">
        <f>AND(#REF!,"AAAAAHmt7Kk=")</f>
        <v>#REF!</v>
      </c>
      <c r="FO30" t="e">
        <f>AND(#REF!,"AAAAAHmt7Ko=")</f>
        <v>#REF!</v>
      </c>
      <c r="FP30" t="e">
        <f>AND(#REF!,"AAAAAHmt7Ks=")</f>
        <v>#REF!</v>
      </c>
      <c r="FQ30" t="e">
        <f>AND(#REF!,"AAAAAHmt7Kw=")</f>
        <v>#REF!</v>
      </c>
      <c r="FR30" t="e">
        <f>AND(#REF!,"AAAAAHmt7K0=")</f>
        <v>#REF!</v>
      </c>
      <c r="FS30" t="e">
        <f>AND(#REF!,"AAAAAHmt7K4=")</f>
        <v>#REF!</v>
      </c>
      <c r="FT30" t="e">
        <f>AND(#REF!,"AAAAAHmt7K8=")</f>
        <v>#REF!</v>
      </c>
      <c r="FU30" t="e">
        <f>AND(#REF!,"AAAAAHmt7LA=")</f>
        <v>#REF!</v>
      </c>
      <c r="FV30" t="e">
        <f>AND(#REF!,"AAAAAHmt7LE=")</f>
        <v>#REF!</v>
      </c>
      <c r="FW30" t="e">
        <f>AND(#REF!,"AAAAAHmt7LI=")</f>
        <v>#REF!</v>
      </c>
      <c r="FX30" t="e">
        <f>AND(#REF!,"AAAAAHmt7LM=")</f>
        <v>#REF!</v>
      </c>
      <c r="FY30" t="e">
        <f>AND(#REF!,"AAAAAHmt7LQ=")</f>
        <v>#REF!</v>
      </c>
      <c r="FZ30" t="e">
        <f>AND(#REF!,"AAAAAHmt7LU=")</f>
        <v>#REF!</v>
      </c>
      <c r="GA30" t="e">
        <f>AND(#REF!,"AAAAAHmt7LY=")</f>
        <v>#REF!</v>
      </c>
      <c r="GB30" t="e">
        <f>AND(#REF!,"AAAAAHmt7Lc=")</f>
        <v>#REF!</v>
      </c>
      <c r="GC30" t="e">
        <f>AND(#REF!,"AAAAAHmt7Lg=")</f>
        <v>#REF!</v>
      </c>
      <c r="GD30" t="e">
        <f>IF(#REF!,"AAAAAHmt7Lk=",0)</f>
        <v>#REF!</v>
      </c>
      <c r="GE30" t="e">
        <f>AND(#REF!,"AAAAAHmt7Lo=")</f>
        <v>#REF!</v>
      </c>
      <c r="GF30" t="e">
        <f>AND(#REF!,"AAAAAHmt7Ls=")</f>
        <v>#REF!</v>
      </c>
      <c r="GG30" t="e">
        <f>AND(#REF!,"AAAAAHmt7Lw=")</f>
        <v>#REF!</v>
      </c>
      <c r="GH30" t="e">
        <f>AND(#REF!,"AAAAAHmt7L0=")</f>
        <v>#REF!</v>
      </c>
      <c r="GI30" t="e">
        <f>AND(#REF!,"AAAAAHmt7L4=")</f>
        <v>#REF!</v>
      </c>
      <c r="GJ30" t="e">
        <f>AND(#REF!,"AAAAAHmt7L8=")</f>
        <v>#REF!</v>
      </c>
      <c r="GK30" t="e">
        <f>AND(#REF!,"AAAAAHmt7MA=")</f>
        <v>#REF!</v>
      </c>
      <c r="GL30" t="e">
        <f>AND(#REF!,"AAAAAHmt7ME=")</f>
        <v>#REF!</v>
      </c>
      <c r="GM30" t="e">
        <f>AND(#REF!,"AAAAAHmt7MI=")</f>
        <v>#REF!</v>
      </c>
      <c r="GN30" t="e">
        <f>AND(#REF!,"AAAAAHmt7MM=")</f>
        <v>#REF!</v>
      </c>
      <c r="GO30" t="e">
        <f>AND(#REF!,"AAAAAHmt7MQ=")</f>
        <v>#REF!</v>
      </c>
      <c r="GP30" t="e">
        <f>AND(#REF!,"AAAAAHmt7MU=")</f>
        <v>#REF!</v>
      </c>
      <c r="GQ30" t="e">
        <f>AND(#REF!,"AAAAAHmt7MY=")</f>
        <v>#REF!</v>
      </c>
      <c r="GR30" t="e">
        <f>AND(#REF!,"AAAAAHmt7Mc=")</f>
        <v>#REF!</v>
      </c>
      <c r="GS30" t="e">
        <f>AND(#REF!,"AAAAAHmt7Mg=")</f>
        <v>#REF!</v>
      </c>
      <c r="GT30" t="e">
        <f>AND(#REF!,"AAAAAHmt7Mk=")</f>
        <v>#REF!</v>
      </c>
      <c r="GU30" t="e">
        <f>AND(#REF!,"AAAAAHmt7Mo=")</f>
        <v>#REF!</v>
      </c>
      <c r="GV30" t="e">
        <f>AND(#REF!,"AAAAAHmt7Ms=")</f>
        <v>#REF!</v>
      </c>
      <c r="GW30" t="e">
        <f>AND(#REF!,"AAAAAHmt7Mw=")</f>
        <v>#REF!</v>
      </c>
      <c r="GX30" t="e">
        <f>AND(#REF!,"AAAAAHmt7M0=")</f>
        <v>#REF!</v>
      </c>
      <c r="GY30" t="e">
        <f>AND(#REF!,"AAAAAHmt7M4=")</f>
        <v>#REF!</v>
      </c>
      <c r="GZ30" t="e">
        <f>AND(#REF!,"AAAAAHmt7M8=")</f>
        <v>#REF!</v>
      </c>
      <c r="HA30" t="e">
        <f>AND(#REF!,"AAAAAHmt7NA=")</f>
        <v>#REF!</v>
      </c>
      <c r="HB30" t="e">
        <f>AND(#REF!,"AAAAAHmt7NE=")</f>
        <v>#REF!</v>
      </c>
      <c r="HC30" t="e">
        <f>AND(#REF!,"AAAAAHmt7NI=")</f>
        <v>#REF!</v>
      </c>
      <c r="HD30" t="e">
        <f>AND(#REF!,"AAAAAHmt7NM=")</f>
        <v>#REF!</v>
      </c>
      <c r="HE30" t="e">
        <f>IF(#REF!,"AAAAAHmt7NQ=",0)</f>
        <v>#REF!</v>
      </c>
      <c r="HF30" t="e">
        <f>AND(#REF!,"AAAAAHmt7NU=")</f>
        <v>#REF!</v>
      </c>
      <c r="HG30" t="e">
        <f>AND(#REF!,"AAAAAHmt7NY=")</f>
        <v>#REF!</v>
      </c>
      <c r="HH30" t="e">
        <f>AND(#REF!,"AAAAAHmt7Nc=")</f>
        <v>#REF!</v>
      </c>
      <c r="HI30" t="e">
        <f>AND(#REF!,"AAAAAHmt7Ng=")</f>
        <v>#REF!</v>
      </c>
      <c r="HJ30" t="e">
        <f>AND(#REF!,"AAAAAHmt7Nk=")</f>
        <v>#REF!</v>
      </c>
      <c r="HK30" t="e">
        <f>AND(#REF!,"AAAAAHmt7No=")</f>
        <v>#REF!</v>
      </c>
      <c r="HL30" t="e">
        <f>AND(#REF!,"AAAAAHmt7Ns=")</f>
        <v>#REF!</v>
      </c>
      <c r="HM30" t="e">
        <f>AND(#REF!,"AAAAAHmt7Nw=")</f>
        <v>#REF!</v>
      </c>
      <c r="HN30" t="e">
        <f>AND(#REF!,"AAAAAHmt7N0=")</f>
        <v>#REF!</v>
      </c>
      <c r="HO30" t="e">
        <f>AND(#REF!,"AAAAAHmt7N4=")</f>
        <v>#REF!</v>
      </c>
      <c r="HP30" t="e">
        <f>AND(#REF!,"AAAAAHmt7N8=")</f>
        <v>#REF!</v>
      </c>
      <c r="HQ30" t="e">
        <f>AND(#REF!,"AAAAAHmt7OA=")</f>
        <v>#REF!</v>
      </c>
      <c r="HR30" t="e">
        <f>AND(#REF!,"AAAAAHmt7OE=")</f>
        <v>#REF!</v>
      </c>
      <c r="HS30" t="e">
        <f>AND(#REF!,"AAAAAHmt7OI=")</f>
        <v>#REF!</v>
      </c>
      <c r="HT30" t="e">
        <f>AND(#REF!,"AAAAAHmt7OM=")</f>
        <v>#REF!</v>
      </c>
      <c r="HU30" t="e">
        <f>AND(#REF!,"AAAAAHmt7OQ=")</f>
        <v>#REF!</v>
      </c>
      <c r="HV30" t="e">
        <f>AND(#REF!,"AAAAAHmt7OU=")</f>
        <v>#REF!</v>
      </c>
      <c r="HW30" t="e">
        <f>AND(#REF!,"AAAAAHmt7OY=")</f>
        <v>#REF!</v>
      </c>
      <c r="HX30" t="e">
        <f>AND(#REF!,"AAAAAHmt7Oc=")</f>
        <v>#REF!</v>
      </c>
      <c r="HY30" t="e">
        <f>AND(#REF!,"AAAAAHmt7Og=")</f>
        <v>#REF!</v>
      </c>
      <c r="HZ30" t="e">
        <f>AND(#REF!,"AAAAAHmt7Ok=")</f>
        <v>#REF!</v>
      </c>
      <c r="IA30" t="e">
        <f>AND(#REF!,"AAAAAHmt7Oo=")</f>
        <v>#REF!</v>
      </c>
      <c r="IB30" t="e">
        <f>AND(#REF!,"AAAAAHmt7Os=")</f>
        <v>#REF!</v>
      </c>
      <c r="IC30" t="e">
        <f>AND(#REF!,"AAAAAHmt7Ow=")</f>
        <v>#REF!</v>
      </c>
      <c r="ID30" t="e">
        <f>AND(#REF!,"AAAAAHmt7O0=")</f>
        <v>#REF!</v>
      </c>
      <c r="IE30" t="e">
        <f>AND(#REF!,"AAAAAHmt7O4=")</f>
        <v>#REF!</v>
      </c>
      <c r="IF30" t="e">
        <f>IF(#REF!,"AAAAAHmt7O8=",0)</f>
        <v>#REF!</v>
      </c>
      <c r="IG30" t="e">
        <f>AND(#REF!,"AAAAAHmt7PA=")</f>
        <v>#REF!</v>
      </c>
      <c r="IH30" t="e">
        <f>AND(#REF!,"AAAAAHmt7PE=")</f>
        <v>#REF!</v>
      </c>
      <c r="II30" t="e">
        <f>AND(#REF!,"AAAAAHmt7PI=")</f>
        <v>#REF!</v>
      </c>
      <c r="IJ30" t="e">
        <f>AND(#REF!,"AAAAAHmt7PM=")</f>
        <v>#REF!</v>
      </c>
      <c r="IK30" t="e">
        <f>AND(#REF!,"AAAAAHmt7PQ=")</f>
        <v>#REF!</v>
      </c>
      <c r="IL30" t="e">
        <f>AND(#REF!,"AAAAAHmt7PU=")</f>
        <v>#REF!</v>
      </c>
      <c r="IM30" t="e">
        <f>AND(#REF!,"AAAAAHmt7PY=")</f>
        <v>#REF!</v>
      </c>
      <c r="IN30" t="e">
        <f>AND(#REF!,"AAAAAHmt7Pc=")</f>
        <v>#REF!</v>
      </c>
      <c r="IO30" t="e">
        <f>AND(#REF!,"AAAAAHmt7Pg=")</f>
        <v>#REF!</v>
      </c>
      <c r="IP30" t="e">
        <f>AND(#REF!,"AAAAAHmt7Pk=")</f>
        <v>#REF!</v>
      </c>
      <c r="IQ30" t="e">
        <f>AND(#REF!,"AAAAAHmt7Po=")</f>
        <v>#REF!</v>
      </c>
      <c r="IR30" t="e">
        <f>AND(#REF!,"AAAAAHmt7Ps=")</f>
        <v>#REF!</v>
      </c>
      <c r="IS30" t="e">
        <f>AND(#REF!,"AAAAAHmt7Pw=")</f>
        <v>#REF!</v>
      </c>
      <c r="IT30" t="e">
        <f>AND(#REF!,"AAAAAHmt7P0=")</f>
        <v>#REF!</v>
      </c>
      <c r="IU30" t="e">
        <f>AND(#REF!,"AAAAAHmt7P4=")</f>
        <v>#REF!</v>
      </c>
      <c r="IV30" t="e">
        <f>AND(#REF!,"AAAAAHmt7P8=")</f>
        <v>#REF!</v>
      </c>
    </row>
    <row r="31" spans="1:256" x14ac:dyDescent="0.2">
      <c r="A31" t="e">
        <f>AND(#REF!,"AAAAAE/37wA=")</f>
        <v>#REF!</v>
      </c>
      <c r="B31" t="e">
        <f>AND(#REF!,"AAAAAE/37wE=")</f>
        <v>#REF!</v>
      </c>
      <c r="C31" t="e">
        <f>AND(#REF!,"AAAAAE/37wI=")</f>
        <v>#REF!</v>
      </c>
      <c r="D31" t="e">
        <f>AND(#REF!,"AAAAAE/37wM=")</f>
        <v>#REF!</v>
      </c>
      <c r="E31" t="e">
        <f>AND(#REF!,"AAAAAE/37wQ=")</f>
        <v>#REF!</v>
      </c>
      <c r="F31" t="e">
        <f>AND(#REF!,"AAAAAE/37wU=")</f>
        <v>#REF!</v>
      </c>
      <c r="G31" t="e">
        <f>AND(#REF!,"AAAAAE/37wY=")</f>
        <v>#REF!</v>
      </c>
      <c r="H31" t="e">
        <f>AND(#REF!,"AAAAAE/37wc=")</f>
        <v>#REF!</v>
      </c>
      <c r="I31" t="e">
        <f>AND(#REF!,"AAAAAE/37wg=")</f>
        <v>#REF!</v>
      </c>
      <c r="J31" t="e">
        <f>AND(#REF!,"AAAAAE/37wk=")</f>
        <v>#REF!</v>
      </c>
      <c r="K31" t="e">
        <f>IF(#REF!,"AAAAAE/37wo=",0)</f>
        <v>#REF!</v>
      </c>
      <c r="L31" t="e">
        <f>AND(#REF!,"AAAAAE/37ws=")</f>
        <v>#REF!</v>
      </c>
      <c r="M31" t="e">
        <f>AND(#REF!,"AAAAAE/37ww=")</f>
        <v>#REF!</v>
      </c>
      <c r="N31" t="e">
        <f>AND(#REF!,"AAAAAE/37w0=")</f>
        <v>#REF!</v>
      </c>
      <c r="O31" t="e">
        <f>AND(#REF!,"AAAAAE/37w4=")</f>
        <v>#REF!</v>
      </c>
      <c r="P31" t="e">
        <f>AND(#REF!,"AAAAAE/37w8=")</f>
        <v>#REF!</v>
      </c>
      <c r="Q31" t="e">
        <f>AND(#REF!,"AAAAAE/37xA=")</f>
        <v>#REF!</v>
      </c>
      <c r="R31" t="e">
        <f>AND(#REF!,"AAAAAE/37xE=")</f>
        <v>#REF!</v>
      </c>
      <c r="S31" t="e">
        <f>AND(#REF!,"AAAAAE/37xI=")</f>
        <v>#REF!</v>
      </c>
      <c r="T31" t="e">
        <f>AND(#REF!,"AAAAAE/37xM=")</f>
        <v>#REF!</v>
      </c>
      <c r="U31" t="e">
        <f>AND(#REF!,"AAAAAE/37xQ=")</f>
        <v>#REF!</v>
      </c>
      <c r="V31" t="e">
        <f>AND(#REF!,"AAAAAE/37xU=")</f>
        <v>#REF!</v>
      </c>
      <c r="W31" t="e">
        <f>AND(#REF!,"AAAAAE/37xY=")</f>
        <v>#REF!</v>
      </c>
      <c r="X31" t="e">
        <f>AND(#REF!,"AAAAAE/37xc=")</f>
        <v>#REF!</v>
      </c>
      <c r="Y31" t="e">
        <f>AND(#REF!,"AAAAAE/37xg=")</f>
        <v>#REF!</v>
      </c>
      <c r="Z31" t="e">
        <f>AND(#REF!,"AAAAAE/37xk=")</f>
        <v>#REF!</v>
      </c>
      <c r="AA31" t="e">
        <f>AND(#REF!,"AAAAAE/37xo=")</f>
        <v>#REF!</v>
      </c>
      <c r="AB31" t="e">
        <f>AND(#REF!,"AAAAAE/37xs=")</f>
        <v>#REF!</v>
      </c>
      <c r="AC31" t="e">
        <f>AND(#REF!,"AAAAAE/37xw=")</f>
        <v>#REF!</v>
      </c>
      <c r="AD31" t="e">
        <f>AND(#REF!,"AAAAAE/37x0=")</f>
        <v>#REF!</v>
      </c>
      <c r="AE31" t="e">
        <f>AND(#REF!,"AAAAAE/37x4=")</f>
        <v>#REF!</v>
      </c>
      <c r="AF31" t="e">
        <f>AND(#REF!,"AAAAAE/37x8=")</f>
        <v>#REF!</v>
      </c>
      <c r="AG31" t="e">
        <f>AND(#REF!,"AAAAAE/37yA=")</f>
        <v>#REF!</v>
      </c>
      <c r="AH31" t="e">
        <f>AND(#REF!,"AAAAAE/37yE=")</f>
        <v>#REF!</v>
      </c>
      <c r="AI31" t="e">
        <f>AND(#REF!,"AAAAAE/37yI=")</f>
        <v>#REF!</v>
      </c>
      <c r="AJ31" t="e">
        <f>AND(#REF!,"AAAAAE/37yM=")</f>
        <v>#REF!</v>
      </c>
      <c r="AK31" t="e">
        <f>AND(#REF!,"AAAAAE/37yQ=")</f>
        <v>#REF!</v>
      </c>
      <c r="AL31" t="e">
        <f>IF(#REF!,"AAAAAE/37yU=",0)</f>
        <v>#REF!</v>
      </c>
      <c r="AM31" t="e">
        <f>AND(#REF!,"AAAAAE/37yY=")</f>
        <v>#REF!</v>
      </c>
      <c r="AN31" t="e">
        <f>AND(#REF!,"AAAAAE/37yc=")</f>
        <v>#REF!</v>
      </c>
      <c r="AO31" t="e">
        <f>AND(#REF!,"AAAAAE/37yg=")</f>
        <v>#REF!</v>
      </c>
      <c r="AP31" t="e">
        <f>AND(#REF!,"AAAAAE/37yk=")</f>
        <v>#REF!</v>
      </c>
      <c r="AQ31" t="e">
        <f>AND(#REF!,"AAAAAE/37yo=")</f>
        <v>#REF!</v>
      </c>
      <c r="AR31" t="e">
        <f>AND(#REF!,"AAAAAE/37ys=")</f>
        <v>#REF!</v>
      </c>
      <c r="AS31" t="e">
        <f>AND(#REF!,"AAAAAE/37yw=")</f>
        <v>#REF!</v>
      </c>
      <c r="AT31" t="e">
        <f>AND(#REF!,"AAAAAE/37y0=")</f>
        <v>#REF!</v>
      </c>
      <c r="AU31" t="e">
        <f>AND(#REF!,"AAAAAE/37y4=")</f>
        <v>#REF!</v>
      </c>
      <c r="AV31" t="e">
        <f>AND(#REF!,"AAAAAE/37y8=")</f>
        <v>#REF!</v>
      </c>
      <c r="AW31" t="e">
        <f>AND(#REF!,"AAAAAE/37zA=")</f>
        <v>#REF!</v>
      </c>
      <c r="AX31" t="e">
        <f>AND(#REF!,"AAAAAE/37zE=")</f>
        <v>#REF!</v>
      </c>
      <c r="AY31" t="e">
        <f>AND(#REF!,"AAAAAE/37zI=")</f>
        <v>#REF!</v>
      </c>
      <c r="AZ31" t="e">
        <f>AND(#REF!,"AAAAAE/37zM=")</f>
        <v>#REF!</v>
      </c>
      <c r="BA31" t="e">
        <f>AND(#REF!,"AAAAAE/37zQ=")</f>
        <v>#REF!</v>
      </c>
      <c r="BB31" t="e">
        <f>AND(#REF!,"AAAAAE/37zU=")</f>
        <v>#REF!</v>
      </c>
      <c r="BC31" t="e">
        <f>AND(#REF!,"AAAAAE/37zY=")</f>
        <v>#REF!</v>
      </c>
      <c r="BD31" t="e">
        <f>AND(#REF!,"AAAAAE/37zc=")</f>
        <v>#REF!</v>
      </c>
      <c r="BE31" t="e">
        <f>AND(#REF!,"AAAAAE/37zg=")</f>
        <v>#REF!</v>
      </c>
      <c r="BF31" t="e">
        <f>AND(#REF!,"AAAAAE/37zk=")</f>
        <v>#REF!</v>
      </c>
      <c r="BG31" t="e">
        <f>AND(#REF!,"AAAAAE/37zo=")</f>
        <v>#REF!</v>
      </c>
      <c r="BH31" t="e">
        <f>AND(#REF!,"AAAAAE/37zs=")</f>
        <v>#REF!</v>
      </c>
      <c r="BI31" t="e">
        <f>AND(#REF!,"AAAAAE/37zw=")</f>
        <v>#REF!</v>
      </c>
      <c r="BJ31" t="e">
        <f>AND(#REF!,"AAAAAE/37z0=")</f>
        <v>#REF!</v>
      </c>
      <c r="BK31" t="e">
        <f>AND(#REF!,"AAAAAE/37z4=")</f>
        <v>#REF!</v>
      </c>
      <c r="BL31" t="e">
        <f>AND(#REF!,"AAAAAE/37z8=")</f>
        <v>#REF!</v>
      </c>
      <c r="BM31" t="e">
        <f>IF(#REF!,"AAAAAE/370A=",0)</f>
        <v>#REF!</v>
      </c>
      <c r="BN31" t="e">
        <f>AND(#REF!,"AAAAAE/370E=")</f>
        <v>#REF!</v>
      </c>
      <c r="BO31" t="e">
        <f>AND(#REF!,"AAAAAE/370I=")</f>
        <v>#REF!</v>
      </c>
      <c r="BP31" t="e">
        <f>AND(#REF!,"AAAAAE/370M=")</f>
        <v>#REF!</v>
      </c>
      <c r="BQ31" t="e">
        <f>AND(#REF!,"AAAAAE/370Q=")</f>
        <v>#REF!</v>
      </c>
      <c r="BR31" t="e">
        <f>AND(#REF!,"AAAAAE/370U=")</f>
        <v>#REF!</v>
      </c>
      <c r="BS31" t="e">
        <f>AND(#REF!,"AAAAAE/370Y=")</f>
        <v>#REF!</v>
      </c>
      <c r="BT31" t="e">
        <f>AND(#REF!,"AAAAAE/370c=")</f>
        <v>#REF!</v>
      </c>
      <c r="BU31" t="e">
        <f>AND(#REF!,"AAAAAE/370g=")</f>
        <v>#REF!</v>
      </c>
      <c r="BV31" t="e">
        <f>AND(#REF!,"AAAAAE/370k=")</f>
        <v>#REF!</v>
      </c>
      <c r="BW31" t="e">
        <f>AND(#REF!,"AAAAAE/370o=")</f>
        <v>#REF!</v>
      </c>
      <c r="BX31" t="e">
        <f>AND(#REF!,"AAAAAE/370s=")</f>
        <v>#REF!</v>
      </c>
      <c r="BY31" t="e">
        <f>AND(#REF!,"AAAAAE/370w=")</f>
        <v>#REF!</v>
      </c>
      <c r="BZ31" t="e">
        <f>AND(#REF!,"AAAAAE/3700=")</f>
        <v>#REF!</v>
      </c>
      <c r="CA31" t="e">
        <f>AND(#REF!,"AAAAAE/3704=")</f>
        <v>#REF!</v>
      </c>
      <c r="CB31" t="e">
        <f>AND(#REF!,"AAAAAE/3708=")</f>
        <v>#REF!</v>
      </c>
      <c r="CC31" t="e">
        <f>AND(#REF!,"AAAAAE/371A=")</f>
        <v>#REF!</v>
      </c>
      <c r="CD31" t="e">
        <f>AND(#REF!,"AAAAAE/371E=")</f>
        <v>#REF!</v>
      </c>
      <c r="CE31" t="e">
        <f>AND(#REF!,"AAAAAE/371I=")</f>
        <v>#REF!</v>
      </c>
      <c r="CF31" t="e">
        <f>AND(#REF!,"AAAAAE/371M=")</f>
        <v>#REF!</v>
      </c>
      <c r="CG31" t="e">
        <f>AND(#REF!,"AAAAAE/371Q=")</f>
        <v>#REF!</v>
      </c>
      <c r="CH31" t="e">
        <f>AND(#REF!,"AAAAAE/371U=")</f>
        <v>#REF!</v>
      </c>
      <c r="CI31" t="e">
        <f>AND(#REF!,"AAAAAE/371Y=")</f>
        <v>#REF!</v>
      </c>
      <c r="CJ31" t="e">
        <f>AND(#REF!,"AAAAAE/371c=")</f>
        <v>#REF!</v>
      </c>
      <c r="CK31" t="e">
        <f>AND(#REF!,"AAAAAE/371g=")</f>
        <v>#REF!</v>
      </c>
      <c r="CL31" t="e">
        <f>AND(#REF!,"AAAAAE/371k=")</f>
        <v>#REF!</v>
      </c>
      <c r="CM31" t="e">
        <f>AND(#REF!,"AAAAAE/371o=")</f>
        <v>#REF!</v>
      </c>
      <c r="CN31" t="e">
        <f>IF(#REF!,"AAAAAE/371s=",0)</f>
        <v>#REF!</v>
      </c>
      <c r="CO31" t="e">
        <f>AND(#REF!,"AAAAAE/371w=")</f>
        <v>#REF!</v>
      </c>
      <c r="CP31" t="e">
        <f>AND(#REF!,"AAAAAE/3710=")</f>
        <v>#REF!</v>
      </c>
      <c r="CQ31" t="e">
        <f>AND(#REF!,"AAAAAE/3714=")</f>
        <v>#REF!</v>
      </c>
      <c r="CR31" t="e">
        <f>AND(#REF!,"AAAAAE/3718=")</f>
        <v>#REF!</v>
      </c>
      <c r="CS31" t="e">
        <f>AND(#REF!,"AAAAAE/372A=")</f>
        <v>#REF!</v>
      </c>
      <c r="CT31" t="e">
        <f>AND(#REF!,"AAAAAE/372E=")</f>
        <v>#REF!</v>
      </c>
      <c r="CU31" t="e">
        <f>AND(#REF!,"AAAAAE/372I=")</f>
        <v>#REF!</v>
      </c>
      <c r="CV31" t="e">
        <f>AND(#REF!,"AAAAAE/372M=")</f>
        <v>#REF!</v>
      </c>
      <c r="CW31" t="e">
        <f>AND(#REF!,"AAAAAE/372Q=")</f>
        <v>#REF!</v>
      </c>
      <c r="CX31" t="e">
        <f>AND(#REF!,"AAAAAE/372U=")</f>
        <v>#REF!</v>
      </c>
      <c r="CY31" t="e">
        <f>AND(#REF!,"AAAAAE/372Y=")</f>
        <v>#REF!</v>
      </c>
      <c r="CZ31" t="e">
        <f>AND(#REF!,"AAAAAE/372c=")</f>
        <v>#REF!</v>
      </c>
      <c r="DA31" t="e">
        <f>AND(#REF!,"AAAAAE/372g=")</f>
        <v>#REF!</v>
      </c>
      <c r="DB31" t="e">
        <f>AND(#REF!,"AAAAAE/372k=")</f>
        <v>#REF!</v>
      </c>
      <c r="DC31" t="e">
        <f>AND(#REF!,"AAAAAE/372o=")</f>
        <v>#REF!</v>
      </c>
      <c r="DD31" t="e">
        <f>AND(#REF!,"AAAAAE/372s=")</f>
        <v>#REF!</v>
      </c>
      <c r="DE31" t="e">
        <f>AND(#REF!,"AAAAAE/372w=")</f>
        <v>#REF!</v>
      </c>
      <c r="DF31" t="e">
        <f>AND(#REF!,"AAAAAE/3720=")</f>
        <v>#REF!</v>
      </c>
      <c r="DG31" t="e">
        <f>AND(#REF!,"AAAAAE/3724=")</f>
        <v>#REF!</v>
      </c>
      <c r="DH31" t="e">
        <f>AND(#REF!,"AAAAAE/3728=")</f>
        <v>#REF!</v>
      </c>
      <c r="DI31" t="e">
        <f>AND(#REF!,"AAAAAE/373A=")</f>
        <v>#REF!</v>
      </c>
      <c r="DJ31" t="e">
        <f>AND(#REF!,"AAAAAE/373E=")</f>
        <v>#REF!</v>
      </c>
      <c r="DK31" t="e">
        <f>AND(#REF!,"AAAAAE/373I=")</f>
        <v>#REF!</v>
      </c>
      <c r="DL31" t="e">
        <f>AND(#REF!,"AAAAAE/373M=")</f>
        <v>#REF!</v>
      </c>
      <c r="DM31" t="e">
        <f>AND(#REF!,"AAAAAE/373Q=")</f>
        <v>#REF!</v>
      </c>
      <c r="DN31" t="e">
        <f>AND(#REF!,"AAAAAE/373U=")</f>
        <v>#REF!</v>
      </c>
      <c r="DO31" t="e">
        <f>IF(#REF!,"AAAAAE/373Y=",0)</f>
        <v>#REF!</v>
      </c>
      <c r="DP31" t="e">
        <f>AND(#REF!,"AAAAAE/373c=")</f>
        <v>#REF!</v>
      </c>
      <c r="DQ31" t="e">
        <f>AND(#REF!,"AAAAAE/373g=")</f>
        <v>#REF!</v>
      </c>
      <c r="DR31" t="e">
        <f>AND(#REF!,"AAAAAE/373k=")</f>
        <v>#REF!</v>
      </c>
      <c r="DS31" t="e">
        <f>AND(#REF!,"AAAAAE/373o=")</f>
        <v>#REF!</v>
      </c>
      <c r="DT31" t="e">
        <f>AND(#REF!,"AAAAAE/373s=")</f>
        <v>#REF!</v>
      </c>
      <c r="DU31" t="e">
        <f>AND(#REF!,"AAAAAE/373w=")</f>
        <v>#REF!</v>
      </c>
      <c r="DV31" t="e">
        <f>AND(#REF!,"AAAAAE/3730=")</f>
        <v>#REF!</v>
      </c>
      <c r="DW31" t="e">
        <f>AND(#REF!,"AAAAAE/3734=")</f>
        <v>#REF!</v>
      </c>
      <c r="DX31" t="e">
        <f>AND(#REF!,"AAAAAE/3738=")</f>
        <v>#REF!</v>
      </c>
      <c r="DY31" t="e">
        <f>AND(#REF!,"AAAAAE/374A=")</f>
        <v>#REF!</v>
      </c>
      <c r="DZ31" t="e">
        <f>AND(#REF!,"AAAAAE/374E=")</f>
        <v>#REF!</v>
      </c>
      <c r="EA31" t="e">
        <f>AND(#REF!,"AAAAAE/374I=")</f>
        <v>#REF!</v>
      </c>
      <c r="EB31" t="e">
        <f>AND(#REF!,"AAAAAE/374M=")</f>
        <v>#REF!</v>
      </c>
      <c r="EC31" t="e">
        <f>AND(#REF!,"AAAAAE/374Q=")</f>
        <v>#REF!</v>
      </c>
      <c r="ED31" t="e">
        <f>AND(#REF!,"AAAAAE/374U=")</f>
        <v>#REF!</v>
      </c>
      <c r="EE31" t="e">
        <f>AND(#REF!,"AAAAAE/374Y=")</f>
        <v>#REF!</v>
      </c>
      <c r="EF31" t="e">
        <f>AND(#REF!,"AAAAAE/374c=")</f>
        <v>#REF!</v>
      </c>
      <c r="EG31" t="e">
        <f>AND(#REF!,"AAAAAE/374g=")</f>
        <v>#REF!</v>
      </c>
      <c r="EH31" t="e">
        <f>AND(#REF!,"AAAAAE/374k=")</f>
        <v>#REF!</v>
      </c>
      <c r="EI31" t="e">
        <f>AND(#REF!,"AAAAAE/374o=")</f>
        <v>#REF!</v>
      </c>
      <c r="EJ31" t="e">
        <f>AND(#REF!,"AAAAAE/374s=")</f>
        <v>#REF!</v>
      </c>
      <c r="EK31" t="e">
        <f>AND(#REF!,"AAAAAE/374w=")</f>
        <v>#REF!</v>
      </c>
      <c r="EL31" t="e">
        <f>AND(#REF!,"AAAAAE/3740=")</f>
        <v>#REF!</v>
      </c>
      <c r="EM31" t="e">
        <f>AND(#REF!,"AAAAAE/3744=")</f>
        <v>#REF!</v>
      </c>
      <c r="EN31" t="e">
        <f>AND(#REF!,"AAAAAE/3748=")</f>
        <v>#REF!</v>
      </c>
      <c r="EO31" t="e">
        <f>AND(#REF!,"AAAAAE/375A=")</f>
        <v>#REF!</v>
      </c>
      <c r="EP31" t="e">
        <f>IF(#REF!,"AAAAAE/375E=",0)</f>
        <v>#REF!</v>
      </c>
      <c r="EQ31" t="e">
        <f>AND(#REF!,"AAAAAE/375I=")</f>
        <v>#REF!</v>
      </c>
      <c r="ER31" t="e">
        <f>AND(#REF!,"AAAAAE/375M=")</f>
        <v>#REF!</v>
      </c>
      <c r="ES31" t="e">
        <f>AND(#REF!,"AAAAAE/375Q=")</f>
        <v>#REF!</v>
      </c>
      <c r="ET31" t="e">
        <f>AND(#REF!,"AAAAAE/375U=")</f>
        <v>#REF!</v>
      </c>
      <c r="EU31" t="e">
        <f>AND(#REF!,"AAAAAE/375Y=")</f>
        <v>#REF!</v>
      </c>
      <c r="EV31" t="e">
        <f>AND(#REF!,"AAAAAE/375c=")</f>
        <v>#REF!</v>
      </c>
      <c r="EW31" t="e">
        <f>AND(#REF!,"AAAAAE/375g=")</f>
        <v>#REF!</v>
      </c>
      <c r="EX31" t="e">
        <f>AND(#REF!,"AAAAAE/375k=")</f>
        <v>#REF!</v>
      </c>
      <c r="EY31" t="e">
        <f>AND(#REF!,"AAAAAE/375o=")</f>
        <v>#REF!</v>
      </c>
      <c r="EZ31" t="e">
        <f>AND(#REF!,"AAAAAE/375s=")</f>
        <v>#REF!</v>
      </c>
      <c r="FA31" t="e">
        <f>AND(#REF!,"AAAAAE/375w=")</f>
        <v>#REF!</v>
      </c>
      <c r="FB31" t="e">
        <f>AND(#REF!,"AAAAAE/3750=")</f>
        <v>#REF!</v>
      </c>
      <c r="FC31" t="e">
        <f>AND(#REF!,"AAAAAE/3754=")</f>
        <v>#REF!</v>
      </c>
      <c r="FD31" t="e">
        <f>AND(#REF!,"AAAAAE/3758=")</f>
        <v>#REF!</v>
      </c>
      <c r="FE31" t="e">
        <f>AND(#REF!,"AAAAAE/376A=")</f>
        <v>#REF!</v>
      </c>
      <c r="FF31" t="e">
        <f>AND(#REF!,"AAAAAE/376E=")</f>
        <v>#REF!</v>
      </c>
      <c r="FG31" t="e">
        <f>AND(#REF!,"AAAAAE/376I=")</f>
        <v>#REF!</v>
      </c>
      <c r="FH31" t="e">
        <f>AND(#REF!,"AAAAAE/376M=")</f>
        <v>#REF!</v>
      </c>
      <c r="FI31" t="e">
        <f>AND(#REF!,"AAAAAE/376Q=")</f>
        <v>#REF!</v>
      </c>
      <c r="FJ31" t="e">
        <f>AND(#REF!,"AAAAAE/376U=")</f>
        <v>#REF!</v>
      </c>
      <c r="FK31" t="e">
        <f>AND(#REF!,"AAAAAE/376Y=")</f>
        <v>#REF!</v>
      </c>
      <c r="FL31" t="e">
        <f>AND(#REF!,"AAAAAE/376c=")</f>
        <v>#REF!</v>
      </c>
      <c r="FM31" t="e">
        <f>AND(#REF!,"AAAAAE/376g=")</f>
        <v>#REF!</v>
      </c>
      <c r="FN31" t="e">
        <f>AND(#REF!,"AAAAAE/376k=")</f>
        <v>#REF!</v>
      </c>
      <c r="FO31" t="e">
        <f>AND(#REF!,"AAAAAE/376o=")</f>
        <v>#REF!</v>
      </c>
      <c r="FP31" t="e">
        <f>AND(#REF!,"AAAAAE/376s=")</f>
        <v>#REF!</v>
      </c>
      <c r="FQ31" t="e">
        <f>IF(#REF!,"AAAAAE/376w=",0)</f>
        <v>#REF!</v>
      </c>
      <c r="FR31" t="e">
        <f>AND(#REF!,"AAAAAE/3760=")</f>
        <v>#REF!</v>
      </c>
      <c r="FS31" t="e">
        <f>AND(#REF!,"AAAAAE/3764=")</f>
        <v>#REF!</v>
      </c>
      <c r="FT31" t="e">
        <f>AND(#REF!,"AAAAAE/3768=")</f>
        <v>#REF!</v>
      </c>
      <c r="FU31" t="e">
        <f>AND(#REF!,"AAAAAE/377A=")</f>
        <v>#REF!</v>
      </c>
      <c r="FV31" t="e">
        <f>AND(#REF!,"AAAAAE/377E=")</f>
        <v>#REF!</v>
      </c>
      <c r="FW31" t="e">
        <f>AND(#REF!,"AAAAAE/377I=")</f>
        <v>#REF!</v>
      </c>
      <c r="FX31" t="e">
        <f>AND(#REF!,"AAAAAE/377M=")</f>
        <v>#REF!</v>
      </c>
      <c r="FY31" t="e">
        <f>AND(#REF!,"AAAAAE/377Q=")</f>
        <v>#REF!</v>
      </c>
      <c r="FZ31" t="e">
        <f>AND(#REF!,"AAAAAE/377U=")</f>
        <v>#REF!</v>
      </c>
      <c r="GA31" t="e">
        <f>AND(#REF!,"AAAAAE/377Y=")</f>
        <v>#REF!</v>
      </c>
      <c r="GB31" t="e">
        <f>AND(#REF!,"AAAAAE/377c=")</f>
        <v>#REF!</v>
      </c>
      <c r="GC31" t="e">
        <f>AND(#REF!,"AAAAAE/377g=")</f>
        <v>#REF!</v>
      </c>
      <c r="GD31" t="e">
        <f>AND(#REF!,"AAAAAE/377k=")</f>
        <v>#REF!</v>
      </c>
      <c r="GE31" t="e">
        <f>AND(#REF!,"AAAAAE/377o=")</f>
        <v>#REF!</v>
      </c>
      <c r="GF31" t="e">
        <f>AND(#REF!,"AAAAAE/377s=")</f>
        <v>#REF!</v>
      </c>
      <c r="GG31" t="e">
        <f>AND(#REF!,"AAAAAE/377w=")</f>
        <v>#REF!</v>
      </c>
      <c r="GH31" t="e">
        <f>AND(#REF!,"AAAAAE/3770=")</f>
        <v>#REF!</v>
      </c>
      <c r="GI31" t="e">
        <f>AND(#REF!,"AAAAAE/3774=")</f>
        <v>#REF!</v>
      </c>
      <c r="GJ31" t="e">
        <f>AND(#REF!,"AAAAAE/3778=")</f>
        <v>#REF!</v>
      </c>
      <c r="GK31" t="e">
        <f>AND(#REF!,"AAAAAE/378A=")</f>
        <v>#REF!</v>
      </c>
      <c r="GL31" t="e">
        <f>AND(#REF!,"AAAAAE/378E=")</f>
        <v>#REF!</v>
      </c>
      <c r="GM31" t="e">
        <f>AND(#REF!,"AAAAAE/378I=")</f>
        <v>#REF!</v>
      </c>
      <c r="GN31" t="e">
        <f>AND(#REF!,"AAAAAE/378M=")</f>
        <v>#REF!</v>
      </c>
      <c r="GO31" t="e">
        <f>AND(#REF!,"AAAAAE/378Q=")</f>
        <v>#REF!</v>
      </c>
      <c r="GP31" t="e">
        <f>AND(#REF!,"AAAAAE/378U=")</f>
        <v>#REF!</v>
      </c>
      <c r="GQ31" t="e">
        <f>AND(#REF!,"AAAAAE/378Y=")</f>
        <v>#REF!</v>
      </c>
      <c r="GR31" t="e">
        <f>IF(#REF!,"AAAAAE/378c=",0)</f>
        <v>#REF!</v>
      </c>
      <c r="GS31" t="e">
        <f>AND(#REF!,"AAAAAE/378g=")</f>
        <v>#REF!</v>
      </c>
      <c r="GT31" t="e">
        <f>AND(#REF!,"AAAAAE/378k=")</f>
        <v>#REF!</v>
      </c>
      <c r="GU31" t="e">
        <f>AND(#REF!,"AAAAAE/378o=")</f>
        <v>#REF!</v>
      </c>
      <c r="GV31" t="e">
        <f>AND(#REF!,"AAAAAE/378s=")</f>
        <v>#REF!</v>
      </c>
      <c r="GW31" t="e">
        <f>AND(#REF!,"AAAAAE/378w=")</f>
        <v>#REF!</v>
      </c>
      <c r="GX31" t="e">
        <f>AND(#REF!,"AAAAAE/3780=")</f>
        <v>#REF!</v>
      </c>
      <c r="GY31" t="e">
        <f>AND(#REF!,"AAAAAE/3784=")</f>
        <v>#REF!</v>
      </c>
      <c r="GZ31" t="e">
        <f>AND(#REF!,"AAAAAE/3788=")</f>
        <v>#REF!</v>
      </c>
      <c r="HA31" t="e">
        <f>AND(#REF!,"AAAAAE/379A=")</f>
        <v>#REF!</v>
      </c>
      <c r="HB31" t="e">
        <f>AND(#REF!,"AAAAAE/379E=")</f>
        <v>#REF!</v>
      </c>
      <c r="HC31" t="e">
        <f>AND(#REF!,"AAAAAE/379I=")</f>
        <v>#REF!</v>
      </c>
      <c r="HD31" t="e">
        <f>AND(#REF!,"AAAAAE/379M=")</f>
        <v>#REF!</v>
      </c>
      <c r="HE31" t="e">
        <f>AND(#REF!,"AAAAAE/379Q=")</f>
        <v>#REF!</v>
      </c>
      <c r="HF31" t="e">
        <f>AND(#REF!,"AAAAAE/379U=")</f>
        <v>#REF!</v>
      </c>
      <c r="HG31" t="e">
        <f>AND(#REF!,"AAAAAE/379Y=")</f>
        <v>#REF!</v>
      </c>
      <c r="HH31" t="e">
        <f>AND(#REF!,"AAAAAE/379c=")</f>
        <v>#REF!</v>
      </c>
      <c r="HI31" t="e">
        <f>AND(#REF!,"AAAAAE/379g=")</f>
        <v>#REF!</v>
      </c>
      <c r="HJ31" t="e">
        <f>AND(#REF!,"AAAAAE/379k=")</f>
        <v>#REF!</v>
      </c>
      <c r="HK31" t="e">
        <f>AND(#REF!,"AAAAAE/379o=")</f>
        <v>#REF!</v>
      </c>
      <c r="HL31" t="e">
        <f>AND(#REF!,"AAAAAE/379s=")</f>
        <v>#REF!</v>
      </c>
      <c r="HM31" t="e">
        <f>AND(#REF!,"AAAAAE/379w=")</f>
        <v>#REF!</v>
      </c>
      <c r="HN31" t="e">
        <f>AND(#REF!,"AAAAAE/3790=")</f>
        <v>#REF!</v>
      </c>
      <c r="HO31" t="e">
        <f>AND(#REF!,"AAAAAE/3794=")</f>
        <v>#REF!</v>
      </c>
      <c r="HP31" t="e">
        <f>AND(#REF!,"AAAAAE/3798=")</f>
        <v>#REF!</v>
      </c>
      <c r="HQ31" t="e">
        <f>AND(#REF!,"AAAAAE/37+A=")</f>
        <v>#REF!</v>
      </c>
      <c r="HR31" t="e">
        <f>AND(#REF!,"AAAAAE/37+E=")</f>
        <v>#REF!</v>
      </c>
      <c r="HS31" t="e">
        <f>IF(#REF!,"AAAAAE/37+I=",0)</f>
        <v>#REF!</v>
      </c>
      <c r="HT31" t="e">
        <f>AND(#REF!,"AAAAAE/37+M=")</f>
        <v>#REF!</v>
      </c>
      <c r="HU31" t="e">
        <f>AND(#REF!,"AAAAAE/37+Q=")</f>
        <v>#REF!</v>
      </c>
      <c r="HV31" t="e">
        <f>AND(#REF!,"AAAAAE/37+U=")</f>
        <v>#REF!</v>
      </c>
      <c r="HW31" t="e">
        <f>AND(#REF!,"AAAAAE/37+Y=")</f>
        <v>#REF!</v>
      </c>
      <c r="HX31" t="e">
        <f>AND(#REF!,"AAAAAE/37+c=")</f>
        <v>#REF!</v>
      </c>
      <c r="HY31" t="e">
        <f>AND(#REF!,"AAAAAE/37+g=")</f>
        <v>#REF!</v>
      </c>
      <c r="HZ31" t="e">
        <f>AND(#REF!,"AAAAAE/37+k=")</f>
        <v>#REF!</v>
      </c>
      <c r="IA31" t="e">
        <f>AND(#REF!,"AAAAAE/37+o=")</f>
        <v>#REF!</v>
      </c>
      <c r="IB31" t="e">
        <f>AND(#REF!,"AAAAAE/37+s=")</f>
        <v>#REF!</v>
      </c>
      <c r="IC31" t="e">
        <f>AND(#REF!,"AAAAAE/37+w=")</f>
        <v>#REF!</v>
      </c>
      <c r="ID31" t="e">
        <f>AND(#REF!,"AAAAAE/37+0=")</f>
        <v>#REF!</v>
      </c>
      <c r="IE31" t="e">
        <f>AND(#REF!,"AAAAAE/37+4=")</f>
        <v>#REF!</v>
      </c>
      <c r="IF31" t="e">
        <f>AND(#REF!,"AAAAAE/37+8=")</f>
        <v>#REF!</v>
      </c>
      <c r="IG31" t="e">
        <f>AND(#REF!,"AAAAAE/37/A=")</f>
        <v>#REF!</v>
      </c>
      <c r="IH31" t="e">
        <f>AND(#REF!,"AAAAAE/37/E=")</f>
        <v>#REF!</v>
      </c>
      <c r="II31" t="e">
        <f>AND(#REF!,"AAAAAE/37/I=")</f>
        <v>#REF!</v>
      </c>
      <c r="IJ31" t="e">
        <f>AND(#REF!,"AAAAAE/37/M=")</f>
        <v>#REF!</v>
      </c>
      <c r="IK31" t="e">
        <f>AND(#REF!,"AAAAAE/37/Q=")</f>
        <v>#REF!</v>
      </c>
      <c r="IL31" t="e">
        <f>AND(#REF!,"AAAAAE/37/U=")</f>
        <v>#REF!</v>
      </c>
      <c r="IM31" t="e">
        <f>AND(#REF!,"AAAAAE/37/Y=")</f>
        <v>#REF!</v>
      </c>
      <c r="IN31" t="e">
        <f>AND(#REF!,"AAAAAE/37/c=")</f>
        <v>#REF!</v>
      </c>
      <c r="IO31" t="e">
        <f>AND(#REF!,"AAAAAE/37/g=")</f>
        <v>#REF!</v>
      </c>
      <c r="IP31" t="e">
        <f>AND(#REF!,"AAAAAE/37/k=")</f>
        <v>#REF!</v>
      </c>
      <c r="IQ31" t="e">
        <f>AND(#REF!,"AAAAAE/37/o=")</f>
        <v>#REF!</v>
      </c>
      <c r="IR31" t="e">
        <f>AND(#REF!,"AAAAAE/37/s=")</f>
        <v>#REF!</v>
      </c>
      <c r="IS31" t="e">
        <f>AND(#REF!,"AAAAAE/37/w=")</f>
        <v>#REF!</v>
      </c>
      <c r="IT31" t="e">
        <f>IF(#REF!,"AAAAAE/37/0=",0)</f>
        <v>#REF!</v>
      </c>
      <c r="IU31" t="e">
        <f>AND(#REF!,"AAAAAE/37/4=")</f>
        <v>#REF!</v>
      </c>
      <c r="IV31" t="e">
        <f>AND(#REF!,"AAAAAE/37/8=")</f>
        <v>#REF!</v>
      </c>
    </row>
    <row r="32" spans="1:256" x14ac:dyDescent="0.2">
      <c r="A32" t="e">
        <f>AND(#REF!,"AAAAAH/uvgA=")</f>
        <v>#REF!</v>
      </c>
      <c r="B32" t="e">
        <f>AND(#REF!,"AAAAAH/uvgE=")</f>
        <v>#REF!</v>
      </c>
      <c r="C32" t="e">
        <f>AND(#REF!,"AAAAAH/uvgI=")</f>
        <v>#REF!</v>
      </c>
      <c r="D32" t="e">
        <f>AND(#REF!,"AAAAAH/uvgM=")</f>
        <v>#REF!</v>
      </c>
      <c r="E32" t="e">
        <f>AND(#REF!,"AAAAAH/uvgQ=")</f>
        <v>#REF!</v>
      </c>
      <c r="F32" t="e">
        <f>AND(#REF!,"AAAAAH/uvgU=")</f>
        <v>#REF!</v>
      </c>
      <c r="G32" t="e">
        <f>AND(#REF!,"AAAAAH/uvgY=")</f>
        <v>#REF!</v>
      </c>
      <c r="H32" t="e">
        <f>AND(#REF!,"AAAAAH/uvgc=")</f>
        <v>#REF!</v>
      </c>
      <c r="I32" t="e">
        <f>AND(#REF!,"AAAAAH/uvgg=")</f>
        <v>#REF!</v>
      </c>
      <c r="J32" t="e">
        <f>AND(#REF!,"AAAAAH/uvgk=")</f>
        <v>#REF!</v>
      </c>
      <c r="K32" t="e">
        <f>AND(#REF!,"AAAAAH/uvgo=")</f>
        <v>#REF!</v>
      </c>
      <c r="L32" t="e">
        <f>AND(#REF!,"AAAAAH/uvgs=")</f>
        <v>#REF!</v>
      </c>
      <c r="M32" t="e">
        <f>AND(#REF!,"AAAAAH/uvgw=")</f>
        <v>#REF!</v>
      </c>
      <c r="N32" t="e">
        <f>AND(#REF!,"AAAAAH/uvg0=")</f>
        <v>#REF!</v>
      </c>
      <c r="O32" t="e">
        <f>AND(#REF!,"AAAAAH/uvg4=")</f>
        <v>#REF!</v>
      </c>
      <c r="P32" t="e">
        <f>AND(#REF!,"AAAAAH/uvg8=")</f>
        <v>#REF!</v>
      </c>
      <c r="Q32" t="e">
        <f>AND(#REF!,"AAAAAH/uvhA=")</f>
        <v>#REF!</v>
      </c>
      <c r="R32" t="e">
        <f>AND(#REF!,"AAAAAH/uvhE=")</f>
        <v>#REF!</v>
      </c>
      <c r="S32" t="e">
        <f>AND(#REF!,"AAAAAH/uvhI=")</f>
        <v>#REF!</v>
      </c>
      <c r="T32" t="e">
        <f>AND(#REF!,"AAAAAH/uvhM=")</f>
        <v>#REF!</v>
      </c>
      <c r="U32" t="e">
        <f>AND(#REF!,"AAAAAH/uvhQ=")</f>
        <v>#REF!</v>
      </c>
      <c r="V32" t="e">
        <f>AND(#REF!,"AAAAAH/uvhU=")</f>
        <v>#REF!</v>
      </c>
      <c r="W32" t="e">
        <f>AND(#REF!,"AAAAAH/uvhY=")</f>
        <v>#REF!</v>
      </c>
      <c r="X32" t="e">
        <f>AND(#REF!,"AAAAAH/uvhc=")</f>
        <v>#REF!</v>
      </c>
      <c r="Y32" t="e">
        <f>IF(#REF!,"AAAAAH/uvhg=",0)</f>
        <v>#REF!</v>
      </c>
      <c r="Z32" t="e">
        <f>AND(#REF!,"AAAAAH/uvhk=")</f>
        <v>#REF!</v>
      </c>
      <c r="AA32" t="e">
        <f>AND(#REF!,"AAAAAH/uvho=")</f>
        <v>#REF!</v>
      </c>
      <c r="AB32" t="e">
        <f>AND(#REF!,"AAAAAH/uvhs=")</f>
        <v>#REF!</v>
      </c>
      <c r="AC32" t="e">
        <f>AND(#REF!,"AAAAAH/uvhw=")</f>
        <v>#REF!</v>
      </c>
      <c r="AD32" t="e">
        <f>AND(#REF!,"AAAAAH/uvh0=")</f>
        <v>#REF!</v>
      </c>
      <c r="AE32" t="e">
        <f>AND(#REF!,"AAAAAH/uvh4=")</f>
        <v>#REF!</v>
      </c>
      <c r="AF32" t="e">
        <f>AND(#REF!,"AAAAAH/uvh8=")</f>
        <v>#REF!</v>
      </c>
      <c r="AG32" t="e">
        <f>AND(#REF!,"AAAAAH/uviA=")</f>
        <v>#REF!</v>
      </c>
      <c r="AH32" t="e">
        <f>AND(#REF!,"AAAAAH/uviE=")</f>
        <v>#REF!</v>
      </c>
      <c r="AI32" t="e">
        <f>AND(#REF!,"AAAAAH/uviI=")</f>
        <v>#REF!</v>
      </c>
      <c r="AJ32" t="e">
        <f>AND(#REF!,"AAAAAH/uviM=")</f>
        <v>#REF!</v>
      </c>
      <c r="AK32" t="e">
        <f>AND(#REF!,"AAAAAH/uviQ=")</f>
        <v>#REF!</v>
      </c>
      <c r="AL32" t="e">
        <f>AND(#REF!,"AAAAAH/uviU=")</f>
        <v>#REF!</v>
      </c>
      <c r="AM32" t="e">
        <f>AND(#REF!,"AAAAAH/uviY=")</f>
        <v>#REF!</v>
      </c>
      <c r="AN32" t="e">
        <f>AND(#REF!,"AAAAAH/uvic=")</f>
        <v>#REF!</v>
      </c>
      <c r="AO32" t="e">
        <f>AND(#REF!,"AAAAAH/uvig=")</f>
        <v>#REF!</v>
      </c>
      <c r="AP32" t="e">
        <f>AND(#REF!,"AAAAAH/uvik=")</f>
        <v>#REF!</v>
      </c>
      <c r="AQ32" t="e">
        <f>AND(#REF!,"AAAAAH/uvio=")</f>
        <v>#REF!</v>
      </c>
      <c r="AR32" t="e">
        <f>AND(#REF!,"AAAAAH/uvis=")</f>
        <v>#REF!</v>
      </c>
      <c r="AS32" t="e">
        <f>AND(#REF!,"AAAAAH/uviw=")</f>
        <v>#REF!</v>
      </c>
      <c r="AT32" t="e">
        <f>AND(#REF!,"AAAAAH/uvi0=")</f>
        <v>#REF!</v>
      </c>
      <c r="AU32" t="e">
        <f>AND(#REF!,"AAAAAH/uvi4=")</f>
        <v>#REF!</v>
      </c>
      <c r="AV32" t="e">
        <f>AND(#REF!,"AAAAAH/uvi8=")</f>
        <v>#REF!</v>
      </c>
      <c r="AW32" t="e">
        <f>AND(#REF!,"AAAAAH/uvjA=")</f>
        <v>#REF!</v>
      </c>
      <c r="AX32" t="e">
        <f>AND(#REF!,"AAAAAH/uvjE=")</f>
        <v>#REF!</v>
      </c>
      <c r="AY32" t="e">
        <f>AND(#REF!,"AAAAAH/uvjI=")</f>
        <v>#REF!</v>
      </c>
      <c r="AZ32" t="e">
        <f>IF(#REF!,"AAAAAH/uvjM=",0)</f>
        <v>#REF!</v>
      </c>
      <c r="BA32" t="e">
        <f>AND(#REF!,"AAAAAH/uvjQ=")</f>
        <v>#REF!</v>
      </c>
      <c r="BB32" t="e">
        <f>AND(#REF!,"AAAAAH/uvjU=")</f>
        <v>#REF!</v>
      </c>
      <c r="BC32" t="e">
        <f>AND(#REF!,"AAAAAH/uvjY=")</f>
        <v>#REF!</v>
      </c>
      <c r="BD32" t="e">
        <f>AND(#REF!,"AAAAAH/uvjc=")</f>
        <v>#REF!</v>
      </c>
      <c r="BE32" t="e">
        <f>AND(#REF!,"AAAAAH/uvjg=")</f>
        <v>#REF!</v>
      </c>
      <c r="BF32" t="e">
        <f>AND(#REF!,"AAAAAH/uvjk=")</f>
        <v>#REF!</v>
      </c>
      <c r="BG32" t="e">
        <f>AND(#REF!,"AAAAAH/uvjo=")</f>
        <v>#REF!</v>
      </c>
      <c r="BH32" t="e">
        <f>AND(#REF!,"AAAAAH/uvjs=")</f>
        <v>#REF!</v>
      </c>
      <c r="BI32" t="e">
        <f>AND(#REF!,"AAAAAH/uvjw=")</f>
        <v>#REF!</v>
      </c>
      <c r="BJ32" t="e">
        <f>AND(#REF!,"AAAAAH/uvj0=")</f>
        <v>#REF!</v>
      </c>
      <c r="BK32" t="e">
        <f>AND(#REF!,"AAAAAH/uvj4=")</f>
        <v>#REF!</v>
      </c>
      <c r="BL32" t="e">
        <f>AND(#REF!,"AAAAAH/uvj8=")</f>
        <v>#REF!</v>
      </c>
      <c r="BM32" t="e">
        <f>AND(#REF!,"AAAAAH/uvkA=")</f>
        <v>#REF!</v>
      </c>
      <c r="BN32" t="e">
        <f>AND(#REF!,"AAAAAH/uvkE=")</f>
        <v>#REF!</v>
      </c>
      <c r="BO32" t="e">
        <f>AND(#REF!,"AAAAAH/uvkI=")</f>
        <v>#REF!</v>
      </c>
      <c r="BP32" t="e">
        <f>AND(#REF!,"AAAAAH/uvkM=")</f>
        <v>#REF!</v>
      </c>
      <c r="BQ32" t="e">
        <f>AND(#REF!,"AAAAAH/uvkQ=")</f>
        <v>#REF!</v>
      </c>
      <c r="BR32" t="e">
        <f>AND(#REF!,"AAAAAH/uvkU=")</f>
        <v>#REF!</v>
      </c>
      <c r="BS32" t="e">
        <f>AND(#REF!,"AAAAAH/uvkY=")</f>
        <v>#REF!</v>
      </c>
      <c r="BT32" t="e">
        <f>AND(#REF!,"AAAAAH/uvkc=")</f>
        <v>#REF!</v>
      </c>
      <c r="BU32" t="e">
        <f>AND(#REF!,"AAAAAH/uvkg=")</f>
        <v>#REF!</v>
      </c>
      <c r="BV32" t="e">
        <f>AND(#REF!,"AAAAAH/uvkk=")</f>
        <v>#REF!</v>
      </c>
      <c r="BW32" t="e">
        <f>AND(#REF!,"AAAAAH/uvko=")</f>
        <v>#REF!</v>
      </c>
      <c r="BX32" t="e">
        <f>AND(#REF!,"AAAAAH/uvks=")</f>
        <v>#REF!</v>
      </c>
      <c r="BY32" t="e">
        <f>AND(#REF!,"AAAAAH/uvkw=")</f>
        <v>#REF!</v>
      </c>
      <c r="BZ32" t="e">
        <f>AND(#REF!,"AAAAAH/uvk0=")</f>
        <v>#REF!</v>
      </c>
      <c r="CA32" t="e">
        <f>IF(#REF!,"AAAAAH/uvk4=",0)</f>
        <v>#REF!</v>
      </c>
      <c r="CB32" t="e">
        <f>AND(#REF!,"AAAAAH/uvk8=")</f>
        <v>#REF!</v>
      </c>
      <c r="CC32" t="e">
        <f>AND(#REF!,"AAAAAH/uvlA=")</f>
        <v>#REF!</v>
      </c>
      <c r="CD32" t="e">
        <f>AND(#REF!,"AAAAAH/uvlE=")</f>
        <v>#REF!</v>
      </c>
      <c r="CE32" t="e">
        <f>AND(#REF!,"AAAAAH/uvlI=")</f>
        <v>#REF!</v>
      </c>
      <c r="CF32" t="e">
        <f>AND(#REF!,"AAAAAH/uvlM=")</f>
        <v>#REF!</v>
      </c>
      <c r="CG32" t="e">
        <f>AND(#REF!,"AAAAAH/uvlQ=")</f>
        <v>#REF!</v>
      </c>
      <c r="CH32" t="e">
        <f>AND(#REF!,"AAAAAH/uvlU=")</f>
        <v>#REF!</v>
      </c>
      <c r="CI32" t="e">
        <f>AND(#REF!,"AAAAAH/uvlY=")</f>
        <v>#REF!</v>
      </c>
      <c r="CJ32" t="e">
        <f>AND(#REF!,"AAAAAH/uvlc=")</f>
        <v>#REF!</v>
      </c>
      <c r="CK32" t="e">
        <f>AND(#REF!,"AAAAAH/uvlg=")</f>
        <v>#REF!</v>
      </c>
      <c r="CL32" t="e">
        <f>AND(#REF!,"AAAAAH/uvlk=")</f>
        <v>#REF!</v>
      </c>
      <c r="CM32" t="e">
        <f>AND(#REF!,"AAAAAH/uvlo=")</f>
        <v>#REF!</v>
      </c>
      <c r="CN32" t="e">
        <f>AND(#REF!,"AAAAAH/uvls=")</f>
        <v>#REF!</v>
      </c>
      <c r="CO32" t="e">
        <f>AND(#REF!,"AAAAAH/uvlw=")</f>
        <v>#REF!</v>
      </c>
      <c r="CP32" t="e">
        <f>AND(#REF!,"AAAAAH/uvl0=")</f>
        <v>#REF!</v>
      </c>
      <c r="CQ32" t="e">
        <f>AND(#REF!,"AAAAAH/uvl4=")</f>
        <v>#REF!</v>
      </c>
      <c r="CR32" t="e">
        <f>AND(#REF!,"AAAAAH/uvl8=")</f>
        <v>#REF!</v>
      </c>
      <c r="CS32" t="e">
        <f>AND(#REF!,"AAAAAH/uvmA=")</f>
        <v>#REF!</v>
      </c>
      <c r="CT32" t="e">
        <f>AND(#REF!,"AAAAAH/uvmE=")</f>
        <v>#REF!</v>
      </c>
      <c r="CU32" t="e">
        <f>AND(#REF!,"AAAAAH/uvmI=")</f>
        <v>#REF!</v>
      </c>
      <c r="CV32" t="e">
        <f>AND(#REF!,"AAAAAH/uvmM=")</f>
        <v>#REF!</v>
      </c>
      <c r="CW32" t="e">
        <f>AND(#REF!,"AAAAAH/uvmQ=")</f>
        <v>#REF!</v>
      </c>
      <c r="CX32" t="e">
        <f>AND(#REF!,"AAAAAH/uvmU=")</f>
        <v>#REF!</v>
      </c>
      <c r="CY32" t="e">
        <f>AND(#REF!,"AAAAAH/uvmY=")</f>
        <v>#REF!</v>
      </c>
      <c r="CZ32" t="e">
        <f>AND(#REF!,"AAAAAH/uvmc=")</f>
        <v>#REF!</v>
      </c>
      <c r="DA32" t="e">
        <f>AND(#REF!,"AAAAAH/uvmg=")</f>
        <v>#REF!</v>
      </c>
      <c r="DB32" t="e">
        <f>IF(#REF!,"AAAAAH/uvmk=",0)</f>
        <v>#REF!</v>
      </c>
      <c r="DC32" t="e">
        <f>AND(#REF!,"AAAAAH/uvmo=")</f>
        <v>#REF!</v>
      </c>
      <c r="DD32" t="e">
        <f>AND(#REF!,"AAAAAH/uvms=")</f>
        <v>#REF!</v>
      </c>
      <c r="DE32" t="e">
        <f>AND(#REF!,"AAAAAH/uvmw=")</f>
        <v>#REF!</v>
      </c>
      <c r="DF32" t="e">
        <f>AND(#REF!,"AAAAAH/uvm0=")</f>
        <v>#REF!</v>
      </c>
      <c r="DG32" t="e">
        <f>AND(#REF!,"AAAAAH/uvm4=")</f>
        <v>#REF!</v>
      </c>
      <c r="DH32" t="e">
        <f>AND(#REF!,"AAAAAH/uvm8=")</f>
        <v>#REF!</v>
      </c>
      <c r="DI32" t="e">
        <f>AND(#REF!,"AAAAAH/uvnA=")</f>
        <v>#REF!</v>
      </c>
      <c r="DJ32" t="e">
        <f>AND(#REF!,"AAAAAH/uvnE=")</f>
        <v>#REF!</v>
      </c>
      <c r="DK32" t="e">
        <f>AND(#REF!,"AAAAAH/uvnI=")</f>
        <v>#REF!</v>
      </c>
      <c r="DL32" t="e">
        <f>AND(#REF!,"AAAAAH/uvnM=")</f>
        <v>#REF!</v>
      </c>
      <c r="DM32" t="e">
        <f>AND(#REF!,"AAAAAH/uvnQ=")</f>
        <v>#REF!</v>
      </c>
      <c r="DN32" t="e">
        <f>AND(#REF!,"AAAAAH/uvnU=")</f>
        <v>#REF!</v>
      </c>
      <c r="DO32" t="e">
        <f>AND(#REF!,"AAAAAH/uvnY=")</f>
        <v>#REF!</v>
      </c>
      <c r="DP32" t="e">
        <f>AND(#REF!,"AAAAAH/uvnc=")</f>
        <v>#REF!</v>
      </c>
      <c r="DQ32" t="e">
        <f>AND(#REF!,"AAAAAH/uvng=")</f>
        <v>#REF!</v>
      </c>
      <c r="DR32" t="e">
        <f>AND(#REF!,"AAAAAH/uvnk=")</f>
        <v>#REF!</v>
      </c>
      <c r="DS32" t="e">
        <f>AND(#REF!,"AAAAAH/uvno=")</f>
        <v>#REF!</v>
      </c>
      <c r="DT32" t="e">
        <f>AND(#REF!,"AAAAAH/uvns=")</f>
        <v>#REF!</v>
      </c>
      <c r="DU32" t="e">
        <f>AND(#REF!,"AAAAAH/uvnw=")</f>
        <v>#REF!</v>
      </c>
      <c r="DV32" t="e">
        <f>AND(#REF!,"AAAAAH/uvn0=")</f>
        <v>#REF!</v>
      </c>
      <c r="DW32" t="e">
        <f>AND(#REF!,"AAAAAH/uvn4=")</f>
        <v>#REF!</v>
      </c>
      <c r="DX32" t="e">
        <f>AND(#REF!,"AAAAAH/uvn8=")</f>
        <v>#REF!</v>
      </c>
      <c r="DY32" t="e">
        <f>AND(#REF!,"AAAAAH/uvoA=")</f>
        <v>#REF!</v>
      </c>
      <c r="DZ32" t="e">
        <f>AND(#REF!,"AAAAAH/uvoE=")</f>
        <v>#REF!</v>
      </c>
      <c r="EA32" t="e">
        <f>AND(#REF!,"AAAAAH/uvoI=")</f>
        <v>#REF!</v>
      </c>
      <c r="EB32" t="e">
        <f>AND(#REF!,"AAAAAH/uvoM=")</f>
        <v>#REF!</v>
      </c>
      <c r="EC32" t="e">
        <f>IF(#REF!,"AAAAAH/uvoQ=",0)</f>
        <v>#REF!</v>
      </c>
      <c r="ED32" t="e">
        <f>AND(#REF!,"AAAAAH/uvoU=")</f>
        <v>#REF!</v>
      </c>
      <c r="EE32" t="e">
        <f>AND(#REF!,"AAAAAH/uvoY=")</f>
        <v>#REF!</v>
      </c>
      <c r="EF32" t="e">
        <f>AND(#REF!,"AAAAAH/uvoc=")</f>
        <v>#REF!</v>
      </c>
      <c r="EG32" t="e">
        <f>AND(#REF!,"AAAAAH/uvog=")</f>
        <v>#REF!</v>
      </c>
      <c r="EH32" t="e">
        <f>AND(#REF!,"AAAAAH/uvok=")</f>
        <v>#REF!</v>
      </c>
      <c r="EI32" t="e">
        <f>AND(#REF!,"AAAAAH/uvoo=")</f>
        <v>#REF!</v>
      </c>
      <c r="EJ32" t="e">
        <f>AND(#REF!,"AAAAAH/uvos=")</f>
        <v>#REF!</v>
      </c>
      <c r="EK32" t="e">
        <f>AND(#REF!,"AAAAAH/uvow=")</f>
        <v>#REF!</v>
      </c>
      <c r="EL32" t="e">
        <f>AND(#REF!,"AAAAAH/uvo0=")</f>
        <v>#REF!</v>
      </c>
      <c r="EM32" t="e">
        <f>AND(#REF!,"AAAAAH/uvo4=")</f>
        <v>#REF!</v>
      </c>
      <c r="EN32" t="e">
        <f>AND(#REF!,"AAAAAH/uvo8=")</f>
        <v>#REF!</v>
      </c>
      <c r="EO32" t="e">
        <f>AND(#REF!,"AAAAAH/uvpA=")</f>
        <v>#REF!</v>
      </c>
      <c r="EP32" t="e">
        <f>AND(#REF!,"AAAAAH/uvpE=")</f>
        <v>#REF!</v>
      </c>
      <c r="EQ32" t="e">
        <f>AND(#REF!,"AAAAAH/uvpI=")</f>
        <v>#REF!</v>
      </c>
      <c r="ER32" t="e">
        <f>AND(#REF!,"AAAAAH/uvpM=")</f>
        <v>#REF!</v>
      </c>
      <c r="ES32" t="e">
        <f>AND(#REF!,"AAAAAH/uvpQ=")</f>
        <v>#REF!</v>
      </c>
      <c r="ET32" t="e">
        <f>AND(#REF!,"AAAAAH/uvpU=")</f>
        <v>#REF!</v>
      </c>
      <c r="EU32" t="e">
        <f>AND(#REF!,"AAAAAH/uvpY=")</f>
        <v>#REF!</v>
      </c>
      <c r="EV32" t="e">
        <f>AND(#REF!,"AAAAAH/uvpc=")</f>
        <v>#REF!</v>
      </c>
      <c r="EW32" t="e">
        <f>AND(#REF!,"AAAAAH/uvpg=")</f>
        <v>#REF!</v>
      </c>
      <c r="EX32" t="e">
        <f>AND(#REF!,"AAAAAH/uvpk=")</f>
        <v>#REF!</v>
      </c>
      <c r="EY32" t="e">
        <f>AND(#REF!,"AAAAAH/uvpo=")</f>
        <v>#REF!</v>
      </c>
      <c r="EZ32" t="e">
        <f>AND(#REF!,"AAAAAH/uvps=")</f>
        <v>#REF!</v>
      </c>
      <c r="FA32" t="e">
        <f>AND(#REF!,"AAAAAH/uvpw=")</f>
        <v>#REF!</v>
      </c>
      <c r="FB32" t="e">
        <f>AND(#REF!,"AAAAAH/uvp0=")</f>
        <v>#REF!</v>
      </c>
      <c r="FC32" t="e">
        <f>AND(#REF!,"AAAAAH/uvp4=")</f>
        <v>#REF!</v>
      </c>
      <c r="FD32" t="e">
        <f>IF(#REF!,"AAAAAH/uvp8=",0)</f>
        <v>#REF!</v>
      </c>
      <c r="FE32" t="e">
        <f>AND(#REF!,"AAAAAH/uvqA=")</f>
        <v>#REF!</v>
      </c>
      <c r="FF32" t="e">
        <f>AND(#REF!,"AAAAAH/uvqE=")</f>
        <v>#REF!</v>
      </c>
      <c r="FG32" t="e">
        <f>AND(#REF!,"AAAAAH/uvqI=")</f>
        <v>#REF!</v>
      </c>
      <c r="FH32" t="e">
        <f>AND(#REF!,"AAAAAH/uvqM=")</f>
        <v>#REF!</v>
      </c>
      <c r="FI32" t="e">
        <f>AND(#REF!,"AAAAAH/uvqQ=")</f>
        <v>#REF!</v>
      </c>
      <c r="FJ32" t="e">
        <f>AND(#REF!,"AAAAAH/uvqU=")</f>
        <v>#REF!</v>
      </c>
      <c r="FK32" t="e">
        <f>AND(#REF!,"AAAAAH/uvqY=")</f>
        <v>#REF!</v>
      </c>
      <c r="FL32" t="e">
        <f>AND(#REF!,"AAAAAH/uvqc=")</f>
        <v>#REF!</v>
      </c>
      <c r="FM32" t="e">
        <f>AND(#REF!,"AAAAAH/uvqg=")</f>
        <v>#REF!</v>
      </c>
      <c r="FN32" t="e">
        <f>AND(#REF!,"AAAAAH/uvqk=")</f>
        <v>#REF!</v>
      </c>
      <c r="FO32" t="e">
        <f>AND(#REF!,"AAAAAH/uvqo=")</f>
        <v>#REF!</v>
      </c>
      <c r="FP32" t="e">
        <f>AND(#REF!,"AAAAAH/uvqs=")</f>
        <v>#REF!</v>
      </c>
      <c r="FQ32" t="e">
        <f>AND(#REF!,"AAAAAH/uvqw=")</f>
        <v>#REF!</v>
      </c>
      <c r="FR32" t="e">
        <f>AND(#REF!,"AAAAAH/uvq0=")</f>
        <v>#REF!</v>
      </c>
      <c r="FS32" t="e">
        <f>AND(#REF!,"AAAAAH/uvq4=")</f>
        <v>#REF!</v>
      </c>
      <c r="FT32" t="e">
        <f>AND(#REF!,"AAAAAH/uvq8=")</f>
        <v>#REF!</v>
      </c>
      <c r="FU32" t="e">
        <f>AND(#REF!,"AAAAAH/uvrA=")</f>
        <v>#REF!</v>
      </c>
      <c r="FV32" t="e">
        <f>AND(#REF!,"AAAAAH/uvrE=")</f>
        <v>#REF!</v>
      </c>
      <c r="FW32" t="e">
        <f>AND(#REF!,"AAAAAH/uvrI=")</f>
        <v>#REF!</v>
      </c>
      <c r="FX32" t="e">
        <f>AND(#REF!,"AAAAAH/uvrM=")</f>
        <v>#REF!</v>
      </c>
      <c r="FY32" t="e">
        <f>AND(#REF!,"AAAAAH/uvrQ=")</f>
        <v>#REF!</v>
      </c>
      <c r="FZ32" t="e">
        <f>AND(#REF!,"AAAAAH/uvrU=")</f>
        <v>#REF!</v>
      </c>
      <c r="GA32" t="e">
        <f>AND(#REF!,"AAAAAH/uvrY=")</f>
        <v>#REF!</v>
      </c>
      <c r="GB32" t="e">
        <f>AND(#REF!,"AAAAAH/uvrc=")</f>
        <v>#REF!</v>
      </c>
      <c r="GC32" t="e">
        <f>AND(#REF!,"AAAAAH/uvrg=")</f>
        <v>#REF!</v>
      </c>
      <c r="GD32" t="e">
        <f>AND(#REF!,"AAAAAH/uvrk=")</f>
        <v>#REF!</v>
      </c>
      <c r="GE32" t="e">
        <f>IF(#REF!,"AAAAAH/uvro=",0)</f>
        <v>#REF!</v>
      </c>
      <c r="GF32" t="e">
        <f>AND(#REF!,"AAAAAH/uvrs=")</f>
        <v>#REF!</v>
      </c>
      <c r="GG32" t="e">
        <f>AND(#REF!,"AAAAAH/uvrw=")</f>
        <v>#REF!</v>
      </c>
      <c r="GH32" t="e">
        <f>AND(#REF!,"AAAAAH/uvr0=")</f>
        <v>#REF!</v>
      </c>
      <c r="GI32" t="e">
        <f>AND(#REF!,"AAAAAH/uvr4=")</f>
        <v>#REF!</v>
      </c>
      <c r="GJ32" t="e">
        <f>AND(#REF!,"AAAAAH/uvr8=")</f>
        <v>#REF!</v>
      </c>
      <c r="GK32" t="e">
        <f>AND(#REF!,"AAAAAH/uvsA=")</f>
        <v>#REF!</v>
      </c>
      <c r="GL32" t="e">
        <f>AND(#REF!,"AAAAAH/uvsE=")</f>
        <v>#REF!</v>
      </c>
      <c r="GM32" t="e">
        <f>AND(#REF!,"AAAAAH/uvsI=")</f>
        <v>#REF!</v>
      </c>
      <c r="GN32" t="e">
        <f>AND(#REF!,"AAAAAH/uvsM=")</f>
        <v>#REF!</v>
      </c>
      <c r="GO32" t="e">
        <f>AND(#REF!,"AAAAAH/uvsQ=")</f>
        <v>#REF!</v>
      </c>
      <c r="GP32" t="e">
        <f>AND(#REF!,"AAAAAH/uvsU=")</f>
        <v>#REF!</v>
      </c>
      <c r="GQ32" t="e">
        <f>AND(#REF!,"AAAAAH/uvsY=")</f>
        <v>#REF!</v>
      </c>
      <c r="GR32" t="e">
        <f>AND(#REF!,"AAAAAH/uvsc=")</f>
        <v>#REF!</v>
      </c>
      <c r="GS32" t="e">
        <f>AND(#REF!,"AAAAAH/uvsg=")</f>
        <v>#REF!</v>
      </c>
      <c r="GT32" t="e">
        <f>AND(#REF!,"AAAAAH/uvsk=")</f>
        <v>#REF!</v>
      </c>
      <c r="GU32" t="e">
        <f>AND(#REF!,"AAAAAH/uvso=")</f>
        <v>#REF!</v>
      </c>
      <c r="GV32" t="e">
        <f>AND(#REF!,"AAAAAH/uvss=")</f>
        <v>#REF!</v>
      </c>
      <c r="GW32" t="e">
        <f>AND(#REF!,"AAAAAH/uvsw=")</f>
        <v>#REF!</v>
      </c>
      <c r="GX32" t="e">
        <f>AND(#REF!,"AAAAAH/uvs0=")</f>
        <v>#REF!</v>
      </c>
      <c r="GY32" t="e">
        <f>AND(#REF!,"AAAAAH/uvs4=")</f>
        <v>#REF!</v>
      </c>
      <c r="GZ32" t="e">
        <f>AND(#REF!,"AAAAAH/uvs8=")</f>
        <v>#REF!</v>
      </c>
      <c r="HA32" t="e">
        <f>AND(#REF!,"AAAAAH/uvtA=")</f>
        <v>#REF!</v>
      </c>
      <c r="HB32" t="e">
        <f>AND(#REF!,"AAAAAH/uvtE=")</f>
        <v>#REF!</v>
      </c>
      <c r="HC32" t="e">
        <f>AND(#REF!,"AAAAAH/uvtI=")</f>
        <v>#REF!</v>
      </c>
      <c r="HD32" t="e">
        <f>AND(#REF!,"AAAAAH/uvtM=")</f>
        <v>#REF!</v>
      </c>
      <c r="HE32" t="e">
        <f>AND(#REF!,"AAAAAH/uvtQ=")</f>
        <v>#REF!</v>
      </c>
      <c r="HF32" t="e">
        <f>IF(#REF!,"AAAAAH/uvtU=",0)</f>
        <v>#REF!</v>
      </c>
      <c r="HG32" t="e">
        <f>AND(#REF!,"AAAAAH/uvtY=")</f>
        <v>#REF!</v>
      </c>
      <c r="HH32" t="e">
        <f>AND(#REF!,"AAAAAH/uvtc=")</f>
        <v>#REF!</v>
      </c>
      <c r="HI32" t="e">
        <f>AND(#REF!,"AAAAAH/uvtg=")</f>
        <v>#REF!</v>
      </c>
      <c r="HJ32" t="e">
        <f>AND(#REF!,"AAAAAH/uvtk=")</f>
        <v>#REF!</v>
      </c>
      <c r="HK32" t="e">
        <f>AND(#REF!,"AAAAAH/uvto=")</f>
        <v>#REF!</v>
      </c>
      <c r="HL32" t="e">
        <f>AND(#REF!,"AAAAAH/uvts=")</f>
        <v>#REF!</v>
      </c>
      <c r="HM32" t="e">
        <f>AND(#REF!,"AAAAAH/uvtw=")</f>
        <v>#REF!</v>
      </c>
      <c r="HN32" t="e">
        <f>AND(#REF!,"AAAAAH/uvt0=")</f>
        <v>#REF!</v>
      </c>
      <c r="HO32" t="e">
        <f>AND(#REF!,"AAAAAH/uvt4=")</f>
        <v>#REF!</v>
      </c>
      <c r="HP32" t="e">
        <f>AND(#REF!,"AAAAAH/uvt8=")</f>
        <v>#REF!</v>
      </c>
      <c r="HQ32" t="e">
        <f>AND(#REF!,"AAAAAH/uvuA=")</f>
        <v>#REF!</v>
      </c>
      <c r="HR32" t="e">
        <f>AND(#REF!,"AAAAAH/uvuE=")</f>
        <v>#REF!</v>
      </c>
      <c r="HS32" t="e">
        <f>AND(#REF!,"AAAAAH/uvuI=")</f>
        <v>#REF!</v>
      </c>
      <c r="HT32" t="e">
        <f>AND(#REF!,"AAAAAH/uvuM=")</f>
        <v>#REF!</v>
      </c>
      <c r="HU32" t="e">
        <f>AND(#REF!,"AAAAAH/uvuQ=")</f>
        <v>#REF!</v>
      </c>
      <c r="HV32" t="e">
        <f>AND(#REF!,"AAAAAH/uvuU=")</f>
        <v>#REF!</v>
      </c>
      <c r="HW32" t="e">
        <f>AND(#REF!,"AAAAAH/uvuY=")</f>
        <v>#REF!</v>
      </c>
      <c r="HX32" t="e">
        <f>AND(#REF!,"AAAAAH/uvuc=")</f>
        <v>#REF!</v>
      </c>
      <c r="HY32" t="e">
        <f>AND(#REF!,"AAAAAH/uvug=")</f>
        <v>#REF!</v>
      </c>
      <c r="HZ32" t="e">
        <f>AND(#REF!,"AAAAAH/uvuk=")</f>
        <v>#REF!</v>
      </c>
      <c r="IA32" t="e">
        <f>AND(#REF!,"AAAAAH/uvuo=")</f>
        <v>#REF!</v>
      </c>
      <c r="IB32" t="e">
        <f>AND(#REF!,"AAAAAH/uvus=")</f>
        <v>#REF!</v>
      </c>
      <c r="IC32" t="e">
        <f>AND(#REF!,"AAAAAH/uvuw=")</f>
        <v>#REF!</v>
      </c>
      <c r="ID32" t="e">
        <f>AND(#REF!,"AAAAAH/uvu0=")</f>
        <v>#REF!</v>
      </c>
      <c r="IE32" t="e">
        <f>AND(#REF!,"AAAAAH/uvu4=")</f>
        <v>#REF!</v>
      </c>
      <c r="IF32" t="e">
        <f>AND(#REF!,"AAAAAH/uvu8=")</f>
        <v>#REF!</v>
      </c>
      <c r="IG32" t="e">
        <f>IF(#REF!,"AAAAAH/uvvA=",0)</f>
        <v>#REF!</v>
      </c>
      <c r="IH32" t="e">
        <f>AND(#REF!,"AAAAAH/uvvE=")</f>
        <v>#REF!</v>
      </c>
      <c r="II32" t="e">
        <f>AND(#REF!,"AAAAAH/uvvI=")</f>
        <v>#REF!</v>
      </c>
      <c r="IJ32" t="e">
        <f>AND(#REF!,"AAAAAH/uvvM=")</f>
        <v>#REF!</v>
      </c>
      <c r="IK32" t="e">
        <f>AND(#REF!,"AAAAAH/uvvQ=")</f>
        <v>#REF!</v>
      </c>
      <c r="IL32" t="e">
        <f>AND(#REF!,"AAAAAH/uvvU=")</f>
        <v>#REF!</v>
      </c>
      <c r="IM32" t="e">
        <f>AND(#REF!,"AAAAAH/uvvY=")</f>
        <v>#REF!</v>
      </c>
      <c r="IN32" t="e">
        <f>AND(#REF!,"AAAAAH/uvvc=")</f>
        <v>#REF!</v>
      </c>
      <c r="IO32" t="e">
        <f>AND(#REF!,"AAAAAH/uvvg=")</f>
        <v>#REF!</v>
      </c>
      <c r="IP32" t="e">
        <f>AND(#REF!,"AAAAAH/uvvk=")</f>
        <v>#REF!</v>
      </c>
      <c r="IQ32" t="e">
        <f>AND(#REF!,"AAAAAH/uvvo=")</f>
        <v>#REF!</v>
      </c>
      <c r="IR32" t="e">
        <f>AND(#REF!,"AAAAAH/uvvs=")</f>
        <v>#REF!</v>
      </c>
      <c r="IS32" t="e">
        <f>AND(#REF!,"AAAAAH/uvvw=")</f>
        <v>#REF!</v>
      </c>
      <c r="IT32" t="e">
        <f>AND(#REF!,"AAAAAH/uvv0=")</f>
        <v>#REF!</v>
      </c>
      <c r="IU32" t="e">
        <f>AND(#REF!,"AAAAAH/uvv4=")</f>
        <v>#REF!</v>
      </c>
      <c r="IV32" t="e">
        <f>AND(#REF!,"AAAAAH/uvv8=")</f>
        <v>#REF!</v>
      </c>
    </row>
    <row r="33" spans="1:256" x14ac:dyDescent="0.2">
      <c r="A33" t="e">
        <f>AND(#REF!,"AAAAAF/zHwA=")</f>
        <v>#REF!</v>
      </c>
      <c r="B33" t="e">
        <f>AND(#REF!,"AAAAAF/zHwE=")</f>
        <v>#REF!</v>
      </c>
      <c r="C33" t="e">
        <f>AND(#REF!,"AAAAAF/zHwI=")</f>
        <v>#REF!</v>
      </c>
      <c r="D33" t="e">
        <f>AND(#REF!,"AAAAAF/zHwM=")</f>
        <v>#REF!</v>
      </c>
      <c r="E33" t="e">
        <f>AND(#REF!,"AAAAAF/zHwQ=")</f>
        <v>#REF!</v>
      </c>
      <c r="F33" t="e">
        <f>AND(#REF!,"AAAAAF/zHwU=")</f>
        <v>#REF!</v>
      </c>
      <c r="G33" t="e">
        <f>AND(#REF!,"AAAAAF/zHwY=")</f>
        <v>#REF!</v>
      </c>
      <c r="H33" t="e">
        <f>AND(#REF!,"AAAAAF/zHwc=")</f>
        <v>#REF!</v>
      </c>
      <c r="I33" t="e">
        <f>AND(#REF!,"AAAAAF/zHwg=")</f>
        <v>#REF!</v>
      </c>
      <c r="J33" t="e">
        <f>AND(#REF!,"AAAAAF/zHwk=")</f>
        <v>#REF!</v>
      </c>
      <c r="K33" t="e">
        <f>AND(#REF!,"AAAAAF/zHwo=")</f>
        <v>#REF!</v>
      </c>
      <c r="L33" t="e">
        <f>IF(#REF!,"AAAAAF/zHws=",0)</f>
        <v>#REF!</v>
      </c>
      <c r="M33" t="e">
        <f>AND(#REF!,"AAAAAF/zHww=")</f>
        <v>#REF!</v>
      </c>
      <c r="N33" t="e">
        <f>AND(#REF!,"AAAAAF/zHw0=")</f>
        <v>#REF!</v>
      </c>
      <c r="O33" t="e">
        <f>AND(#REF!,"AAAAAF/zHw4=")</f>
        <v>#REF!</v>
      </c>
      <c r="P33" t="e">
        <f>AND(#REF!,"AAAAAF/zHw8=")</f>
        <v>#REF!</v>
      </c>
      <c r="Q33" t="e">
        <f>AND(#REF!,"AAAAAF/zHxA=")</f>
        <v>#REF!</v>
      </c>
      <c r="R33" t="e">
        <f>AND(#REF!,"AAAAAF/zHxE=")</f>
        <v>#REF!</v>
      </c>
      <c r="S33" t="e">
        <f>AND(#REF!,"AAAAAF/zHxI=")</f>
        <v>#REF!</v>
      </c>
      <c r="T33" t="e">
        <f>AND(#REF!,"AAAAAF/zHxM=")</f>
        <v>#REF!</v>
      </c>
      <c r="U33" t="e">
        <f>AND(#REF!,"AAAAAF/zHxQ=")</f>
        <v>#REF!</v>
      </c>
      <c r="V33" t="e">
        <f>AND(#REF!,"AAAAAF/zHxU=")</f>
        <v>#REF!</v>
      </c>
      <c r="W33" t="e">
        <f>AND(#REF!,"AAAAAF/zHxY=")</f>
        <v>#REF!</v>
      </c>
      <c r="X33" t="e">
        <f>AND(#REF!,"AAAAAF/zHxc=")</f>
        <v>#REF!</v>
      </c>
      <c r="Y33" t="e">
        <f>AND(#REF!,"AAAAAF/zHxg=")</f>
        <v>#REF!</v>
      </c>
      <c r="Z33" t="e">
        <f>AND(#REF!,"AAAAAF/zHxk=")</f>
        <v>#REF!</v>
      </c>
      <c r="AA33" t="e">
        <f>AND(#REF!,"AAAAAF/zHxo=")</f>
        <v>#REF!</v>
      </c>
      <c r="AB33" t="e">
        <f>AND(#REF!,"AAAAAF/zHxs=")</f>
        <v>#REF!</v>
      </c>
      <c r="AC33" t="e">
        <f>AND(#REF!,"AAAAAF/zHxw=")</f>
        <v>#REF!</v>
      </c>
      <c r="AD33" t="e">
        <f>AND(#REF!,"AAAAAF/zHx0=")</f>
        <v>#REF!</v>
      </c>
      <c r="AE33" t="e">
        <f>AND(#REF!,"AAAAAF/zHx4=")</f>
        <v>#REF!</v>
      </c>
      <c r="AF33" t="e">
        <f>AND(#REF!,"AAAAAF/zHx8=")</f>
        <v>#REF!</v>
      </c>
      <c r="AG33" t="e">
        <f>AND(#REF!,"AAAAAF/zHyA=")</f>
        <v>#REF!</v>
      </c>
      <c r="AH33" t="e">
        <f>AND(#REF!,"AAAAAF/zHyE=")</f>
        <v>#REF!</v>
      </c>
      <c r="AI33" t="e">
        <f>AND(#REF!,"AAAAAF/zHyI=")</f>
        <v>#REF!</v>
      </c>
      <c r="AJ33" t="e">
        <f>AND(#REF!,"AAAAAF/zHyM=")</f>
        <v>#REF!</v>
      </c>
      <c r="AK33" t="e">
        <f>AND(#REF!,"AAAAAF/zHyQ=")</f>
        <v>#REF!</v>
      </c>
      <c r="AL33" t="e">
        <f>AND(#REF!,"AAAAAF/zHyU=")</f>
        <v>#REF!</v>
      </c>
      <c r="AM33" t="e">
        <f>IF(#REF!,"AAAAAF/zHyY=",0)</f>
        <v>#REF!</v>
      </c>
      <c r="AN33" t="e">
        <f>AND(#REF!,"AAAAAF/zHyc=")</f>
        <v>#REF!</v>
      </c>
      <c r="AO33" t="e">
        <f>AND(#REF!,"AAAAAF/zHyg=")</f>
        <v>#REF!</v>
      </c>
      <c r="AP33" t="e">
        <f>AND(#REF!,"AAAAAF/zHyk=")</f>
        <v>#REF!</v>
      </c>
      <c r="AQ33" t="e">
        <f>AND(#REF!,"AAAAAF/zHyo=")</f>
        <v>#REF!</v>
      </c>
      <c r="AR33" t="e">
        <f>AND(#REF!,"AAAAAF/zHys=")</f>
        <v>#REF!</v>
      </c>
      <c r="AS33" t="e">
        <f>AND(#REF!,"AAAAAF/zHyw=")</f>
        <v>#REF!</v>
      </c>
      <c r="AT33" t="e">
        <f>AND(#REF!,"AAAAAF/zHy0=")</f>
        <v>#REF!</v>
      </c>
      <c r="AU33" t="e">
        <f>AND(#REF!,"AAAAAF/zHy4=")</f>
        <v>#REF!</v>
      </c>
      <c r="AV33" t="e">
        <f>AND(#REF!,"AAAAAF/zHy8=")</f>
        <v>#REF!</v>
      </c>
      <c r="AW33" t="e">
        <f>AND(#REF!,"AAAAAF/zHzA=")</f>
        <v>#REF!</v>
      </c>
      <c r="AX33" t="e">
        <f>AND(#REF!,"AAAAAF/zHzE=")</f>
        <v>#REF!</v>
      </c>
      <c r="AY33" t="e">
        <f>AND(#REF!,"AAAAAF/zHzI=")</f>
        <v>#REF!</v>
      </c>
      <c r="AZ33" t="e">
        <f>AND(#REF!,"AAAAAF/zHzM=")</f>
        <v>#REF!</v>
      </c>
      <c r="BA33" t="e">
        <f>AND(#REF!,"AAAAAF/zHzQ=")</f>
        <v>#REF!</v>
      </c>
      <c r="BB33" t="e">
        <f>AND(#REF!,"AAAAAF/zHzU=")</f>
        <v>#REF!</v>
      </c>
      <c r="BC33" t="e">
        <f>AND(#REF!,"AAAAAF/zHzY=")</f>
        <v>#REF!</v>
      </c>
      <c r="BD33" t="e">
        <f>AND(#REF!,"AAAAAF/zHzc=")</f>
        <v>#REF!</v>
      </c>
      <c r="BE33" t="e">
        <f>AND(#REF!,"AAAAAF/zHzg=")</f>
        <v>#REF!</v>
      </c>
      <c r="BF33" t="e">
        <f>AND(#REF!,"AAAAAF/zHzk=")</f>
        <v>#REF!</v>
      </c>
      <c r="BG33" t="e">
        <f>AND(#REF!,"AAAAAF/zHzo=")</f>
        <v>#REF!</v>
      </c>
      <c r="BH33" t="e">
        <f>AND(#REF!,"AAAAAF/zHzs=")</f>
        <v>#REF!</v>
      </c>
      <c r="BI33" t="e">
        <f>AND(#REF!,"AAAAAF/zHzw=")</f>
        <v>#REF!</v>
      </c>
      <c r="BJ33" t="e">
        <f>AND(#REF!,"AAAAAF/zHz0=")</f>
        <v>#REF!</v>
      </c>
      <c r="BK33" t="e">
        <f>AND(#REF!,"AAAAAF/zHz4=")</f>
        <v>#REF!</v>
      </c>
      <c r="BL33" t="e">
        <f>AND(#REF!,"AAAAAF/zHz8=")</f>
        <v>#REF!</v>
      </c>
      <c r="BM33" t="e">
        <f>AND(#REF!,"AAAAAF/zH0A=")</f>
        <v>#REF!</v>
      </c>
      <c r="BN33" t="e">
        <f>IF(#REF!,"AAAAAF/zH0E=",0)</f>
        <v>#REF!</v>
      </c>
      <c r="BO33" t="e">
        <f>AND(#REF!,"AAAAAF/zH0I=")</f>
        <v>#REF!</v>
      </c>
      <c r="BP33" t="e">
        <f>AND(#REF!,"AAAAAF/zH0M=")</f>
        <v>#REF!</v>
      </c>
      <c r="BQ33" t="e">
        <f>AND(#REF!,"AAAAAF/zH0Q=")</f>
        <v>#REF!</v>
      </c>
      <c r="BR33" t="e">
        <f>AND(#REF!,"AAAAAF/zH0U=")</f>
        <v>#REF!</v>
      </c>
      <c r="BS33" t="e">
        <f>AND(#REF!,"AAAAAF/zH0Y=")</f>
        <v>#REF!</v>
      </c>
      <c r="BT33" t="e">
        <f>AND(#REF!,"AAAAAF/zH0c=")</f>
        <v>#REF!</v>
      </c>
      <c r="BU33" t="e">
        <f>AND(#REF!,"AAAAAF/zH0g=")</f>
        <v>#REF!</v>
      </c>
      <c r="BV33" t="e">
        <f>AND(#REF!,"AAAAAF/zH0k=")</f>
        <v>#REF!</v>
      </c>
      <c r="BW33" t="e">
        <f>AND(#REF!,"AAAAAF/zH0o=")</f>
        <v>#REF!</v>
      </c>
      <c r="BX33" t="e">
        <f>AND(#REF!,"AAAAAF/zH0s=")</f>
        <v>#REF!</v>
      </c>
      <c r="BY33" t="e">
        <f>AND(#REF!,"AAAAAF/zH0w=")</f>
        <v>#REF!</v>
      </c>
      <c r="BZ33" t="e">
        <f>AND(#REF!,"AAAAAF/zH00=")</f>
        <v>#REF!</v>
      </c>
      <c r="CA33" t="e">
        <f>AND(#REF!,"AAAAAF/zH04=")</f>
        <v>#REF!</v>
      </c>
      <c r="CB33" t="e">
        <f>AND(#REF!,"AAAAAF/zH08=")</f>
        <v>#REF!</v>
      </c>
      <c r="CC33" t="e">
        <f>AND(#REF!,"AAAAAF/zH1A=")</f>
        <v>#REF!</v>
      </c>
      <c r="CD33" t="e">
        <f>AND(#REF!,"AAAAAF/zH1E=")</f>
        <v>#REF!</v>
      </c>
      <c r="CE33" t="e">
        <f>AND(#REF!,"AAAAAF/zH1I=")</f>
        <v>#REF!</v>
      </c>
      <c r="CF33" t="e">
        <f>AND(#REF!,"AAAAAF/zH1M=")</f>
        <v>#REF!</v>
      </c>
      <c r="CG33" t="e">
        <f>AND(#REF!,"AAAAAF/zH1Q=")</f>
        <v>#REF!</v>
      </c>
      <c r="CH33" t="e">
        <f>AND(#REF!,"AAAAAF/zH1U=")</f>
        <v>#REF!</v>
      </c>
      <c r="CI33" t="e">
        <f>AND(#REF!,"AAAAAF/zH1Y=")</f>
        <v>#REF!</v>
      </c>
      <c r="CJ33" t="e">
        <f>AND(#REF!,"AAAAAF/zH1c=")</f>
        <v>#REF!</v>
      </c>
      <c r="CK33" t="e">
        <f>AND(#REF!,"AAAAAF/zH1g=")</f>
        <v>#REF!</v>
      </c>
      <c r="CL33" t="e">
        <f>AND(#REF!,"AAAAAF/zH1k=")</f>
        <v>#REF!</v>
      </c>
      <c r="CM33" t="e">
        <f>AND(#REF!,"AAAAAF/zH1o=")</f>
        <v>#REF!</v>
      </c>
      <c r="CN33" t="e">
        <f>AND(#REF!,"AAAAAF/zH1s=")</f>
        <v>#REF!</v>
      </c>
      <c r="CO33" t="e">
        <f>IF(#REF!,"AAAAAF/zH1w=",0)</f>
        <v>#REF!</v>
      </c>
      <c r="CP33" t="e">
        <f>AND(#REF!,"AAAAAF/zH10=")</f>
        <v>#REF!</v>
      </c>
      <c r="CQ33" t="e">
        <f>AND(#REF!,"AAAAAF/zH14=")</f>
        <v>#REF!</v>
      </c>
      <c r="CR33" t="e">
        <f>AND(#REF!,"AAAAAF/zH18=")</f>
        <v>#REF!</v>
      </c>
      <c r="CS33" t="e">
        <f>AND(#REF!,"AAAAAF/zH2A=")</f>
        <v>#REF!</v>
      </c>
      <c r="CT33" t="e">
        <f>AND(#REF!,"AAAAAF/zH2E=")</f>
        <v>#REF!</v>
      </c>
      <c r="CU33" t="e">
        <f>AND(#REF!,"AAAAAF/zH2I=")</f>
        <v>#REF!</v>
      </c>
      <c r="CV33" t="e">
        <f>AND(#REF!,"AAAAAF/zH2M=")</f>
        <v>#REF!</v>
      </c>
      <c r="CW33" t="e">
        <f>AND(#REF!,"AAAAAF/zH2Q=")</f>
        <v>#REF!</v>
      </c>
      <c r="CX33" t="e">
        <f>AND(#REF!,"AAAAAF/zH2U=")</f>
        <v>#REF!</v>
      </c>
      <c r="CY33" t="e">
        <f>AND(#REF!,"AAAAAF/zH2Y=")</f>
        <v>#REF!</v>
      </c>
      <c r="CZ33" t="e">
        <f>AND(#REF!,"AAAAAF/zH2c=")</f>
        <v>#REF!</v>
      </c>
      <c r="DA33" t="e">
        <f>AND(#REF!,"AAAAAF/zH2g=")</f>
        <v>#REF!</v>
      </c>
      <c r="DB33" t="e">
        <f>AND(#REF!,"AAAAAF/zH2k=")</f>
        <v>#REF!</v>
      </c>
      <c r="DC33" t="e">
        <f>AND(#REF!,"AAAAAF/zH2o=")</f>
        <v>#REF!</v>
      </c>
      <c r="DD33" t="e">
        <f>AND(#REF!,"AAAAAF/zH2s=")</f>
        <v>#REF!</v>
      </c>
      <c r="DE33" t="e">
        <f>AND(#REF!,"AAAAAF/zH2w=")</f>
        <v>#REF!</v>
      </c>
      <c r="DF33" t="e">
        <f>AND(#REF!,"AAAAAF/zH20=")</f>
        <v>#REF!</v>
      </c>
      <c r="DG33" t="e">
        <f>AND(#REF!,"AAAAAF/zH24=")</f>
        <v>#REF!</v>
      </c>
      <c r="DH33" t="e">
        <f>AND(#REF!,"AAAAAF/zH28=")</f>
        <v>#REF!</v>
      </c>
      <c r="DI33" t="e">
        <f>AND(#REF!,"AAAAAF/zH3A=")</f>
        <v>#REF!</v>
      </c>
      <c r="DJ33" t="e">
        <f>AND(#REF!,"AAAAAF/zH3E=")</f>
        <v>#REF!</v>
      </c>
      <c r="DK33" t="e">
        <f>AND(#REF!,"AAAAAF/zH3I=")</f>
        <v>#REF!</v>
      </c>
      <c r="DL33" t="e">
        <f>AND(#REF!,"AAAAAF/zH3M=")</f>
        <v>#REF!</v>
      </c>
      <c r="DM33" t="e">
        <f>AND(#REF!,"AAAAAF/zH3Q=")</f>
        <v>#REF!</v>
      </c>
      <c r="DN33" t="e">
        <f>AND(#REF!,"AAAAAF/zH3U=")</f>
        <v>#REF!</v>
      </c>
      <c r="DO33" t="e">
        <f>AND(#REF!,"AAAAAF/zH3Y=")</f>
        <v>#REF!</v>
      </c>
      <c r="DP33" t="e">
        <f>IF(#REF!,"AAAAAF/zH3c=",0)</f>
        <v>#REF!</v>
      </c>
      <c r="DQ33" t="e">
        <f>AND(#REF!,"AAAAAF/zH3g=")</f>
        <v>#REF!</v>
      </c>
      <c r="DR33" t="e">
        <f>AND(#REF!,"AAAAAF/zH3k=")</f>
        <v>#REF!</v>
      </c>
      <c r="DS33" t="e">
        <f>AND(#REF!,"AAAAAF/zH3o=")</f>
        <v>#REF!</v>
      </c>
      <c r="DT33" t="e">
        <f>AND(#REF!,"AAAAAF/zH3s=")</f>
        <v>#REF!</v>
      </c>
      <c r="DU33" t="e">
        <f>AND(#REF!,"AAAAAF/zH3w=")</f>
        <v>#REF!</v>
      </c>
      <c r="DV33" t="e">
        <f>AND(#REF!,"AAAAAF/zH30=")</f>
        <v>#REF!</v>
      </c>
      <c r="DW33" t="e">
        <f>AND(#REF!,"AAAAAF/zH34=")</f>
        <v>#REF!</v>
      </c>
      <c r="DX33" t="e">
        <f>AND(#REF!,"AAAAAF/zH38=")</f>
        <v>#REF!</v>
      </c>
      <c r="DY33" t="e">
        <f>AND(#REF!,"AAAAAF/zH4A=")</f>
        <v>#REF!</v>
      </c>
      <c r="DZ33" t="e">
        <f>AND(#REF!,"AAAAAF/zH4E=")</f>
        <v>#REF!</v>
      </c>
      <c r="EA33" t="e">
        <f>AND(#REF!,"AAAAAF/zH4I=")</f>
        <v>#REF!</v>
      </c>
      <c r="EB33" t="e">
        <f>AND(#REF!,"AAAAAF/zH4M=")</f>
        <v>#REF!</v>
      </c>
      <c r="EC33" t="e">
        <f>AND(#REF!,"AAAAAF/zH4Q=")</f>
        <v>#REF!</v>
      </c>
      <c r="ED33" t="e">
        <f>AND(#REF!,"AAAAAF/zH4U=")</f>
        <v>#REF!</v>
      </c>
      <c r="EE33" t="e">
        <f>AND(#REF!,"AAAAAF/zH4Y=")</f>
        <v>#REF!</v>
      </c>
      <c r="EF33" t="e">
        <f>AND(#REF!,"AAAAAF/zH4c=")</f>
        <v>#REF!</v>
      </c>
      <c r="EG33" t="e">
        <f>AND(#REF!,"AAAAAF/zH4g=")</f>
        <v>#REF!</v>
      </c>
      <c r="EH33" t="e">
        <f>AND(#REF!,"AAAAAF/zH4k=")</f>
        <v>#REF!</v>
      </c>
      <c r="EI33" t="e">
        <f>AND(#REF!,"AAAAAF/zH4o=")</f>
        <v>#REF!</v>
      </c>
      <c r="EJ33" t="e">
        <f>AND(#REF!,"AAAAAF/zH4s=")</f>
        <v>#REF!</v>
      </c>
      <c r="EK33" t="e">
        <f>AND(#REF!,"AAAAAF/zH4w=")</f>
        <v>#REF!</v>
      </c>
      <c r="EL33" t="e">
        <f>AND(#REF!,"AAAAAF/zH40=")</f>
        <v>#REF!</v>
      </c>
      <c r="EM33" t="e">
        <f>AND(#REF!,"AAAAAF/zH44=")</f>
        <v>#REF!</v>
      </c>
      <c r="EN33" t="e">
        <f>AND(#REF!,"AAAAAF/zH48=")</f>
        <v>#REF!</v>
      </c>
      <c r="EO33" t="e">
        <f>AND(#REF!,"AAAAAF/zH5A=")</f>
        <v>#REF!</v>
      </c>
      <c r="EP33" t="e">
        <f>AND(#REF!,"AAAAAF/zH5E=")</f>
        <v>#REF!</v>
      </c>
      <c r="EQ33" t="e">
        <f>IF(#REF!,"AAAAAF/zH5I=",0)</f>
        <v>#REF!</v>
      </c>
      <c r="ER33" t="e">
        <f>AND(#REF!,"AAAAAF/zH5M=")</f>
        <v>#REF!</v>
      </c>
      <c r="ES33" t="e">
        <f>AND(#REF!,"AAAAAF/zH5Q=")</f>
        <v>#REF!</v>
      </c>
      <c r="ET33" t="e">
        <f>AND(#REF!,"AAAAAF/zH5U=")</f>
        <v>#REF!</v>
      </c>
      <c r="EU33" t="e">
        <f>AND(#REF!,"AAAAAF/zH5Y=")</f>
        <v>#REF!</v>
      </c>
      <c r="EV33" t="e">
        <f>AND(#REF!,"AAAAAF/zH5c=")</f>
        <v>#REF!</v>
      </c>
      <c r="EW33" t="e">
        <f>AND(#REF!,"AAAAAF/zH5g=")</f>
        <v>#REF!</v>
      </c>
      <c r="EX33" t="e">
        <f>AND(#REF!,"AAAAAF/zH5k=")</f>
        <v>#REF!</v>
      </c>
      <c r="EY33" t="e">
        <f>AND(#REF!,"AAAAAF/zH5o=")</f>
        <v>#REF!</v>
      </c>
      <c r="EZ33" t="e">
        <f>AND(#REF!,"AAAAAF/zH5s=")</f>
        <v>#REF!</v>
      </c>
      <c r="FA33" t="e">
        <f>AND(#REF!,"AAAAAF/zH5w=")</f>
        <v>#REF!</v>
      </c>
      <c r="FB33" t="e">
        <f>AND(#REF!,"AAAAAF/zH50=")</f>
        <v>#REF!</v>
      </c>
      <c r="FC33" t="e">
        <f>AND(#REF!,"AAAAAF/zH54=")</f>
        <v>#REF!</v>
      </c>
      <c r="FD33" t="e">
        <f>AND(#REF!,"AAAAAF/zH58=")</f>
        <v>#REF!</v>
      </c>
      <c r="FE33" t="e">
        <f>AND(#REF!,"AAAAAF/zH6A=")</f>
        <v>#REF!</v>
      </c>
      <c r="FF33" t="e">
        <f>AND(#REF!,"AAAAAF/zH6E=")</f>
        <v>#REF!</v>
      </c>
      <c r="FG33" t="e">
        <f>AND(#REF!,"AAAAAF/zH6I=")</f>
        <v>#REF!</v>
      </c>
      <c r="FH33" t="e">
        <f>AND(#REF!,"AAAAAF/zH6M=")</f>
        <v>#REF!</v>
      </c>
      <c r="FI33" t="e">
        <f>AND(#REF!,"AAAAAF/zH6Q=")</f>
        <v>#REF!</v>
      </c>
      <c r="FJ33" t="e">
        <f>AND(#REF!,"AAAAAF/zH6U=")</f>
        <v>#REF!</v>
      </c>
      <c r="FK33" t="e">
        <f>AND(#REF!,"AAAAAF/zH6Y=")</f>
        <v>#REF!</v>
      </c>
      <c r="FL33" t="e">
        <f>AND(#REF!,"AAAAAF/zH6c=")</f>
        <v>#REF!</v>
      </c>
      <c r="FM33" t="e">
        <f>AND(#REF!,"AAAAAF/zH6g=")</f>
        <v>#REF!</v>
      </c>
      <c r="FN33" t="e">
        <f>AND(#REF!,"AAAAAF/zH6k=")</f>
        <v>#REF!</v>
      </c>
      <c r="FO33" t="e">
        <f>AND(#REF!,"AAAAAF/zH6o=")</f>
        <v>#REF!</v>
      </c>
      <c r="FP33" t="e">
        <f>AND(#REF!,"AAAAAF/zH6s=")</f>
        <v>#REF!</v>
      </c>
      <c r="FQ33" t="e">
        <f>AND(#REF!,"AAAAAF/zH6w=")</f>
        <v>#REF!</v>
      </c>
      <c r="FR33" t="e">
        <f>IF(#REF!,"AAAAAF/zH60=",0)</f>
        <v>#REF!</v>
      </c>
      <c r="FS33" t="e">
        <f>AND(#REF!,"AAAAAF/zH64=")</f>
        <v>#REF!</v>
      </c>
      <c r="FT33" t="e">
        <f>AND(#REF!,"AAAAAF/zH68=")</f>
        <v>#REF!</v>
      </c>
      <c r="FU33" t="e">
        <f>AND(#REF!,"AAAAAF/zH7A=")</f>
        <v>#REF!</v>
      </c>
      <c r="FV33" t="e">
        <f>AND(#REF!,"AAAAAF/zH7E=")</f>
        <v>#REF!</v>
      </c>
      <c r="FW33" t="e">
        <f>AND(#REF!,"AAAAAF/zH7I=")</f>
        <v>#REF!</v>
      </c>
      <c r="FX33" t="e">
        <f>AND(#REF!,"AAAAAF/zH7M=")</f>
        <v>#REF!</v>
      </c>
      <c r="FY33" t="e">
        <f>AND(#REF!,"AAAAAF/zH7Q=")</f>
        <v>#REF!</v>
      </c>
      <c r="FZ33" t="e">
        <f>AND(#REF!,"AAAAAF/zH7U=")</f>
        <v>#REF!</v>
      </c>
      <c r="GA33" t="e">
        <f>AND(#REF!,"AAAAAF/zH7Y=")</f>
        <v>#REF!</v>
      </c>
      <c r="GB33" t="e">
        <f>AND(#REF!,"AAAAAF/zH7c=")</f>
        <v>#REF!</v>
      </c>
      <c r="GC33" t="e">
        <f>AND(#REF!,"AAAAAF/zH7g=")</f>
        <v>#REF!</v>
      </c>
      <c r="GD33" t="e">
        <f>AND(#REF!,"AAAAAF/zH7k=")</f>
        <v>#REF!</v>
      </c>
      <c r="GE33" t="e">
        <f>AND(#REF!,"AAAAAF/zH7o=")</f>
        <v>#REF!</v>
      </c>
      <c r="GF33" t="e">
        <f>AND(#REF!,"AAAAAF/zH7s=")</f>
        <v>#REF!</v>
      </c>
      <c r="GG33" t="e">
        <f>AND(#REF!,"AAAAAF/zH7w=")</f>
        <v>#REF!</v>
      </c>
      <c r="GH33" t="e">
        <f>AND(#REF!,"AAAAAF/zH70=")</f>
        <v>#REF!</v>
      </c>
      <c r="GI33" t="e">
        <f>AND(#REF!,"AAAAAF/zH74=")</f>
        <v>#REF!</v>
      </c>
      <c r="GJ33" t="e">
        <f>AND(#REF!,"AAAAAF/zH78=")</f>
        <v>#REF!</v>
      </c>
      <c r="GK33" t="e">
        <f>AND(#REF!,"AAAAAF/zH8A=")</f>
        <v>#REF!</v>
      </c>
      <c r="GL33" t="e">
        <f>AND(#REF!,"AAAAAF/zH8E=")</f>
        <v>#REF!</v>
      </c>
      <c r="GM33" t="e">
        <f>AND(#REF!,"AAAAAF/zH8I=")</f>
        <v>#REF!</v>
      </c>
      <c r="GN33" t="e">
        <f>AND(#REF!,"AAAAAF/zH8M=")</f>
        <v>#REF!</v>
      </c>
      <c r="GO33" t="e">
        <f>AND(#REF!,"AAAAAF/zH8Q=")</f>
        <v>#REF!</v>
      </c>
      <c r="GP33" t="e">
        <f>AND(#REF!,"AAAAAF/zH8U=")</f>
        <v>#REF!</v>
      </c>
      <c r="GQ33" t="e">
        <f>AND(#REF!,"AAAAAF/zH8Y=")</f>
        <v>#REF!</v>
      </c>
      <c r="GR33" t="e">
        <f>AND(#REF!,"AAAAAF/zH8c=")</f>
        <v>#REF!</v>
      </c>
      <c r="GS33" t="e">
        <f>IF(#REF!,"AAAAAF/zH8g=",0)</f>
        <v>#REF!</v>
      </c>
      <c r="GT33" t="e">
        <f>IF(#REF!,"AAAAAF/zH8k=",0)</f>
        <v>#REF!</v>
      </c>
      <c r="GU33" t="e">
        <f>IF(#REF!,"AAAAAF/zH8o=",0)</f>
        <v>#REF!</v>
      </c>
      <c r="GV33" t="e">
        <f>IF(#REF!,"AAAAAF/zH8s=",0)</f>
        <v>#REF!</v>
      </c>
      <c r="GW33" t="e">
        <f>IF(#REF!,"AAAAAF/zH8w=",0)</f>
        <v>#REF!</v>
      </c>
      <c r="GX33" t="e">
        <f>IF(#REF!,"AAAAAF/zH80=",0)</f>
        <v>#REF!</v>
      </c>
      <c r="GY33" t="e">
        <f>IF(#REF!,"AAAAAF/zH84=",0)</f>
        <v>#REF!</v>
      </c>
      <c r="GZ33" t="e">
        <f>IF(#REF!,"AAAAAF/zH88=",0)</f>
        <v>#REF!</v>
      </c>
      <c r="HA33" t="e">
        <f>IF(#REF!,"AAAAAF/zH9A=",0)</f>
        <v>#REF!</v>
      </c>
      <c r="HB33" t="e">
        <f>IF(#REF!,"AAAAAF/zH9E=",0)</f>
        <v>#REF!</v>
      </c>
      <c r="HC33" t="e">
        <f>IF(#REF!,"AAAAAF/zH9I=",0)</f>
        <v>#REF!</v>
      </c>
      <c r="HD33" t="e">
        <f>IF(#REF!,"AAAAAF/zH9M=",0)</f>
        <v>#REF!</v>
      </c>
      <c r="HE33" t="e">
        <f>IF(#REF!,"AAAAAF/zH9Q=",0)</f>
        <v>#REF!</v>
      </c>
      <c r="HF33" t="e">
        <f>IF(#REF!,"AAAAAF/zH9U=",0)</f>
        <v>#REF!</v>
      </c>
      <c r="HG33" t="e">
        <f>IF(#REF!,"AAAAAF/zH9Y=",0)</f>
        <v>#REF!</v>
      </c>
      <c r="HH33" t="e">
        <f>IF(#REF!,"AAAAAF/zH9c=",0)</f>
        <v>#REF!</v>
      </c>
      <c r="HI33" t="e">
        <f>IF(#REF!,"AAAAAF/zH9g=",0)</f>
        <v>#REF!</v>
      </c>
      <c r="HJ33" t="e">
        <f>IF(#REF!,"AAAAAF/zH9k=",0)</f>
        <v>#REF!</v>
      </c>
      <c r="HK33" t="e">
        <f>IF(#REF!,"AAAAAF/zH9o=",0)</f>
        <v>#REF!</v>
      </c>
      <c r="HL33" t="e">
        <f>IF(#REF!,"AAAAAF/zH9s=",0)</f>
        <v>#REF!</v>
      </c>
      <c r="HM33" t="e">
        <f>IF(#REF!,"AAAAAF/zH9w=",0)</f>
        <v>#REF!</v>
      </c>
      <c r="HN33" t="e">
        <f>IF(#REF!,"AAAAAF/zH90=",0)</f>
        <v>#REF!</v>
      </c>
      <c r="HO33" t="e">
        <f>IF(#REF!,"AAAAAF/zH94=",0)</f>
        <v>#REF!</v>
      </c>
      <c r="HP33" t="e">
        <f>IF(#REF!,"AAAAAF/zH98=",0)</f>
        <v>#REF!</v>
      </c>
      <c r="HQ33" t="e">
        <f>IF(#REF!,"AAAAAF/zH+A=",0)</f>
        <v>#REF!</v>
      </c>
      <c r="HR33" t="e">
        <f>IF(#REF!,"AAAAAF/zH+E=",0)</f>
        <v>#REF!</v>
      </c>
      <c r="HS33" t="e">
        <f>IF(#REF!,"AAAAAF/zH+I=",0)</f>
        <v>#REF!</v>
      </c>
      <c r="HT33" t="e">
        <f>AND(#REF!,"AAAAAF/zH+M=")</f>
        <v>#REF!</v>
      </c>
      <c r="HU33" t="e">
        <f>AND(#REF!,"AAAAAF/zH+Q=")</f>
        <v>#REF!</v>
      </c>
      <c r="HV33" t="e">
        <f>AND(#REF!,"AAAAAF/zH+U=")</f>
        <v>#REF!</v>
      </c>
      <c r="HW33" t="e">
        <f>AND(#REF!,"AAAAAF/zH+Y=")</f>
        <v>#REF!</v>
      </c>
      <c r="HX33" t="e">
        <f>AND(#REF!,"AAAAAF/zH+c=")</f>
        <v>#REF!</v>
      </c>
      <c r="HY33" t="e">
        <f>AND(#REF!,"AAAAAF/zH+g=")</f>
        <v>#REF!</v>
      </c>
      <c r="HZ33" t="e">
        <f>AND(#REF!,"AAAAAF/zH+k=")</f>
        <v>#REF!</v>
      </c>
      <c r="IA33" t="e">
        <f>AND(#REF!,"AAAAAF/zH+o=")</f>
        <v>#REF!</v>
      </c>
      <c r="IB33" t="e">
        <f>AND(#REF!,"AAAAAF/zH+s=")</f>
        <v>#REF!</v>
      </c>
      <c r="IC33" t="e">
        <f>AND(#REF!,"AAAAAF/zH+w=")</f>
        <v>#REF!</v>
      </c>
      <c r="ID33" t="e">
        <f>AND(#REF!,"AAAAAF/zH+0=")</f>
        <v>#REF!</v>
      </c>
      <c r="IE33" t="e">
        <f>AND(#REF!,"AAAAAF/zH+4=")</f>
        <v>#REF!</v>
      </c>
      <c r="IF33" t="e">
        <f>AND(#REF!,"AAAAAF/zH+8=")</f>
        <v>#REF!</v>
      </c>
      <c r="IG33" t="e">
        <f>AND(#REF!,"AAAAAF/zH/A=")</f>
        <v>#REF!</v>
      </c>
      <c r="IH33" t="e">
        <f>AND(#REF!,"AAAAAF/zH/E=")</f>
        <v>#REF!</v>
      </c>
      <c r="II33" t="e">
        <f>AND(#REF!,"AAAAAF/zH/I=")</f>
        <v>#REF!</v>
      </c>
      <c r="IJ33" t="e">
        <f>AND(#REF!,"AAAAAF/zH/M=")</f>
        <v>#REF!</v>
      </c>
      <c r="IK33" t="e">
        <f>AND(#REF!,"AAAAAF/zH/Q=")</f>
        <v>#REF!</v>
      </c>
      <c r="IL33" t="e">
        <f>AND(#REF!,"AAAAAF/zH/U=")</f>
        <v>#REF!</v>
      </c>
      <c r="IM33" t="e">
        <f>AND(#REF!,"AAAAAF/zH/Y=")</f>
        <v>#REF!</v>
      </c>
      <c r="IN33" t="e">
        <f>AND(#REF!,"AAAAAF/zH/c=")</f>
        <v>#REF!</v>
      </c>
      <c r="IO33" t="e">
        <f>AND(#REF!,"AAAAAF/zH/g=")</f>
        <v>#REF!</v>
      </c>
      <c r="IP33" t="e">
        <f>AND(#REF!,"AAAAAF/zH/k=")</f>
        <v>#REF!</v>
      </c>
      <c r="IQ33" t="e">
        <f>AND(#REF!,"AAAAAF/zH/o=")</f>
        <v>#REF!</v>
      </c>
      <c r="IR33" t="e">
        <f>AND(#REF!,"AAAAAF/zH/s=")</f>
        <v>#REF!</v>
      </c>
      <c r="IS33" t="e">
        <f>AND(#REF!,"AAAAAF/zH/w=")</f>
        <v>#REF!</v>
      </c>
      <c r="IT33" t="e">
        <f>IF(#REF!,"AAAAAF/zH/0=",0)</f>
        <v>#REF!</v>
      </c>
      <c r="IU33" t="e">
        <f>AND(#REF!,"AAAAAF/zH/4=")</f>
        <v>#REF!</v>
      </c>
      <c r="IV33" t="e">
        <f>AND(#REF!,"AAAAAF/zH/8=")</f>
        <v>#REF!</v>
      </c>
    </row>
    <row r="34" spans="1:256" x14ac:dyDescent="0.2">
      <c r="A34" t="e">
        <f>AND(#REF!,"AAAAAHx/3AA=")</f>
        <v>#REF!</v>
      </c>
      <c r="B34" t="e">
        <f>AND(#REF!,"AAAAAHx/3AE=")</f>
        <v>#REF!</v>
      </c>
      <c r="C34" t="e">
        <f>AND(#REF!,"AAAAAHx/3AI=")</f>
        <v>#REF!</v>
      </c>
      <c r="D34" t="e">
        <f>AND(#REF!,"AAAAAHx/3AM=")</f>
        <v>#REF!</v>
      </c>
      <c r="E34" t="e">
        <f>AND(#REF!,"AAAAAHx/3AQ=")</f>
        <v>#REF!</v>
      </c>
      <c r="F34" t="e">
        <f>AND(#REF!,"AAAAAHx/3AU=")</f>
        <v>#REF!</v>
      </c>
      <c r="G34" t="e">
        <f>AND(#REF!,"AAAAAHx/3AY=")</f>
        <v>#REF!</v>
      </c>
      <c r="H34" t="e">
        <f>AND(#REF!,"AAAAAHx/3Ac=")</f>
        <v>#REF!</v>
      </c>
      <c r="I34" t="e">
        <f>AND(#REF!,"AAAAAHx/3Ag=")</f>
        <v>#REF!</v>
      </c>
      <c r="J34" t="e">
        <f>AND(#REF!,"AAAAAHx/3Ak=")</f>
        <v>#REF!</v>
      </c>
      <c r="K34" t="e">
        <f>AND(#REF!,"AAAAAHx/3Ao=")</f>
        <v>#REF!</v>
      </c>
      <c r="L34" t="e">
        <f>AND(#REF!,"AAAAAHx/3As=")</f>
        <v>#REF!</v>
      </c>
      <c r="M34" t="e">
        <f>AND(#REF!,"AAAAAHx/3Aw=")</f>
        <v>#REF!</v>
      </c>
      <c r="N34" t="e">
        <f>AND(#REF!,"AAAAAHx/3A0=")</f>
        <v>#REF!</v>
      </c>
      <c r="O34" t="e">
        <f>AND(#REF!,"AAAAAHx/3A4=")</f>
        <v>#REF!</v>
      </c>
      <c r="P34" t="e">
        <f>AND(#REF!,"AAAAAHx/3A8=")</f>
        <v>#REF!</v>
      </c>
      <c r="Q34" t="e">
        <f>AND(#REF!,"AAAAAHx/3BA=")</f>
        <v>#REF!</v>
      </c>
      <c r="R34" t="e">
        <f>AND(#REF!,"AAAAAHx/3BE=")</f>
        <v>#REF!</v>
      </c>
      <c r="S34" t="e">
        <f>AND(#REF!,"AAAAAHx/3BI=")</f>
        <v>#REF!</v>
      </c>
      <c r="T34" t="e">
        <f>AND(#REF!,"AAAAAHx/3BM=")</f>
        <v>#REF!</v>
      </c>
      <c r="U34" t="e">
        <f>AND(#REF!,"AAAAAHx/3BQ=")</f>
        <v>#REF!</v>
      </c>
      <c r="V34" t="e">
        <f>AND(#REF!,"AAAAAHx/3BU=")</f>
        <v>#REF!</v>
      </c>
      <c r="W34" t="e">
        <f>AND(#REF!,"AAAAAHx/3BY=")</f>
        <v>#REF!</v>
      </c>
      <c r="X34" t="e">
        <f>AND(#REF!,"AAAAAHx/3Bc=")</f>
        <v>#REF!</v>
      </c>
      <c r="Y34" t="e">
        <f>IF(#REF!,"AAAAAHx/3Bg=",0)</f>
        <v>#REF!</v>
      </c>
      <c r="Z34" t="e">
        <f>AND(#REF!,"AAAAAHx/3Bk=")</f>
        <v>#REF!</v>
      </c>
      <c r="AA34" t="e">
        <f>AND(#REF!,"AAAAAHx/3Bo=")</f>
        <v>#REF!</v>
      </c>
      <c r="AB34" t="e">
        <f>AND(#REF!,"AAAAAHx/3Bs=")</f>
        <v>#REF!</v>
      </c>
      <c r="AC34" t="e">
        <f>AND(#REF!,"AAAAAHx/3Bw=")</f>
        <v>#REF!</v>
      </c>
      <c r="AD34" t="e">
        <f>AND(#REF!,"AAAAAHx/3B0=")</f>
        <v>#REF!</v>
      </c>
      <c r="AE34" t="e">
        <f>AND(#REF!,"AAAAAHx/3B4=")</f>
        <v>#REF!</v>
      </c>
      <c r="AF34" t="e">
        <f>AND(#REF!,"AAAAAHx/3B8=")</f>
        <v>#REF!</v>
      </c>
      <c r="AG34" t="e">
        <f>AND(#REF!,"AAAAAHx/3CA=")</f>
        <v>#REF!</v>
      </c>
      <c r="AH34" t="e">
        <f>AND(#REF!,"AAAAAHx/3CE=")</f>
        <v>#REF!</v>
      </c>
      <c r="AI34" t="e">
        <f>AND(#REF!,"AAAAAHx/3CI=")</f>
        <v>#REF!</v>
      </c>
      <c r="AJ34" t="e">
        <f>AND(#REF!,"AAAAAHx/3CM=")</f>
        <v>#REF!</v>
      </c>
      <c r="AK34" t="e">
        <f>AND(#REF!,"AAAAAHx/3CQ=")</f>
        <v>#REF!</v>
      </c>
      <c r="AL34" t="e">
        <f>AND(#REF!,"AAAAAHx/3CU=")</f>
        <v>#REF!</v>
      </c>
      <c r="AM34" t="e">
        <f>AND(#REF!,"AAAAAHx/3CY=")</f>
        <v>#REF!</v>
      </c>
      <c r="AN34" t="e">
        <f>AND(#REF!,"AAAAAHx/3Cc=")</f>
        <v>#REF!</v>
      </c>
      <c r="AO34" t="e">
        <f>AND(#REF!,"AAAAAHx/3Cg=")</f>
        <v>#REF!</v>
      </c>
      <c r="AP34" t="e">
        <f>AND(#REF!,"AAAAAHx/3Ck=")</f>
        <v>#REF!</v>
      </c>
      <c r="AQ34" t="e">
        <f>AND(#REF!,"AAAAAHx/3Co=")</f>
        <v>#REF!</v>
      </c>
      <c r="AR34" t="e">
        <f>AND(#REF!,"AAAAAHx/3Cs=")</f>
        <v>#REF!</v>
      </c>
      <c r="AS34" t="e">
        <f>AND(#REF!,"AAAAAHx/3Cw=")</f>
        <v>#REF!</v>
      </c>
      <c r="AT34" t="e">
        <f>AND(#REF!,"AAAAAHx/3C0=")</f>
        <v>#REF!</v>
      </c>
      <c r="AU34" t="e">
        <f>AND(#REF!,"AAAAAHx/3C4=")</f>
        <v>#REF!</v>
      </c>
      <c r="AV34" t="e">
        <f>AND(#REF!,"AAAAAHx/3C8=")</f>
        <v>#REF!</v>
      </c>
      <c r="AW34" t="e">
        <f>AND(#REF!,"AAAAAHx/3DA=")</f>
        <v>#REF!</v>
      </c>
      <c r="AX34" t="e">
        <f>AND(#REF!,"AAAAAHx/3DE=")</f>
        <v>#REF!</v>
      </c>
      <c r="AY34" t="e">
        <f>AND(#REF!,"AAAAAHx/3DI=")</f>
        <v>#REF!</v>
      </c>
      <c r="AZ34" t="e">
        <f>IF(#REF!,"AAAAAHx/3DM=",0)</f>
        <v>#REF!</v>
      </c>
      <c r="BA34" t="e">
        <f>AND(#REF!,"AAAAAHx/3DQ=")</f>
        <v>#REF!</v>
      </c>
      <c r="BB34" t="e">
        <f>AND(#REF!,"AAAAAHx/3DU=")</f>
        <v>#REF!</v>
      </c>
      <c r="BC34" t="e">
        <f>AND(#REF!,"AAAAAHx/3DY=")</f>
        <v>#REF!</v>
      </c>
      <c r="BD34" t="e">
        <f>AND(#REF!,"AAAAAHx/3Dc=")</f>
        <v>#REF!</v>
      </c>
      <c r="BE34" t="e">
        <f>AND(#REF!,"AAAAAHx/3Dg=")</f>
        <v>#REF!</v>
      </c>
      <c r="BF34" t="e">
        <f>AND(#REF!,"AAAAAHx/3Dk=")</f>
        <v>#REF!</v>
      </c>
      <c r="BG34" t="e">
        <f>AND(#REF!,"AAAAAHx/3Do=")</f>
        <v>#REF!</v>
      </c>
      <c r="BH34" t="e">
        <f>AND(#REF!,"AAAAAHx/3Ds=")</f>
        <v>#REF!</v>
      </c>
      <c r="BI34" t="e">
        <f>AND(#REF!,"AAAAAHx/3Dw=")</f>
        <v>#REF!</v>
      </c>
      <c r="BJ34" t="e">
        <f>AND(#REF!,"AAAAAHx/3D0=")</f>
        <v>#REF!</v>
      </c>
      <c r="BK34" t="e">
        <f>AND(#REF!,"AAAAAHx/3D4=")</f>
        <v>#REF!</v>
      </c>
      <c r="BL34" t="e">
        <f>AND(#REF!,"AAAAAHx/3D8=")</f>
        <v>#REF!</v>
      </c>
      <c r="BM34" t="e">
        <f>AND(#REF!,"AAAAAHx/3EA=")</f>
        <v>#REF!</v>
      </c>
      <c r="BN34" t="e">
        <f>AND(#REF!,"AAAAAHx/3EE=")</f>
        <v>#REF!</v>
      </c>
      <c r="BO34" t="e">
        <f>AND(#REF!,"AAAAAHx/3EI=")</f>
        <v>#REF!</v>
      </c>
      <c r="BP34" t="e">
        <f>AND(#REF!,"AAAAAHx/3EM=")</f>
        <v>#REF!</v>
      </c>
      <c r="BQ34" t="e">
        <f>AND(#REF!,"AAAAAHx/3EQ=")</f>
        <v>#REF!</v>
      </c>
      <c r="BR34" t="e">
        <f>AND(#REF!,"AAAAAHx/3EU=")</f>
        <v>#REF!</v>
      </c>
      <c r="BS34" t="e">
        <f>AND(#REF!,"AAAAAHx/3EY=")</f>
        <v>#REF!</v>
      </c>
      <c r="BT34" t="e">
        <f>AND(#REF!,"AAAAAHx/3Ec=")</f>
        <v>#REF!</v>
      </c>
      <c r="BU34" t="e">
        <f>AND(#REF!,"AAAAAHx/3Eg=")</f>
        <v>#REF!</v>
      </c>
      <c r="BV34" t="e">
        <f>AND(#REF!,"AAAAAHx/3Ek=")</f>
        <v>#REF!</v>
      </c>
      <c r="BW34" t="e">
        <f>AND(#REF!,"AAAAAHx/3Eo=")</f>
        <v>#REF!</v>
      </c>
      <c r="BX34" t="e">
        <f>AND(#REF!,"AAAAAHx/3Es=")</f>
        <v>#REF!</v>
      </c>
      <c r="BY34" t="e">
        <f>AND(#REF!,"AAAAAHx/3Ew=")</f>
        <v>#REF!</v>
      </c>
      <c r="BZ34" t="e">
        <f>AND(#REF!,"AAAAAHx/3E0=")</f>
        <v>#REF!</v>
      </c>
      <c r="CA34" t="e">
        <f>IF(#REF!,"AAAAAHx/3E4=",0)</f>
        <v>#REF!</v>
      </c>
      <c r="CB34" t="e">
        <f>AND(#REF!,"AAAAAHx/3E8=")</f>
        <v>#REF!</v>
      </c>
      <c r="CC34" t="e">
        <f>AND(#REF!,"AAAAAHx/3FA=")</f>
        <v>#REF!</v>
      </c>
      <c r="CD34" t="e">
        <f>AND(#REF!,"AAAAAHx/3FE=")</f>
        <v>#REF!</v>
      </c>
      <c r="CE34" t="e">
        <f>AND(#REF!,"AAAAAHx/3FI=")</f>
        <v>#REF!</v>
      </c>
      <c r="CF34" t="e">
        <f>AND(#REF!,"AAAAAHx/3FM=")</f>
        <v>#REF!</v>
      </c>
      <c r="CG34" t="e">
        <f>AND(#REF!,"AAAAAHx/3FQ=")</f>
        <v>#REF!</v>
      </c>
      <c r="CH34" t="e">
        <f>AND(#REF!,"AAAAAHx/3FU=")</f>
        <v>#REF!</v>
      </c>
      <c r="CI34" t="e">
        <f>AND(#REF!,"AAAAAHx/3FY=")</f>
        <v>#REF!</v>
      </c>
      <c r="CJ34" t="e">
        <f>AND(#REF!,"AAAAAHx/3Fc=")</f>
        <v>#REF!</v>
      </c>
      <c r="CK34" t="e">
        <f>AND(#REF!,"AAAAAHx/3Fg=")</f>
        <v>#REF!</v>
      </c>
      <c r="CL34" t="e">
        <f>AND(#REF!,"AAAAAHx/3Fk=")</f>
        <v>#REF!</v>
      </c>
      <c r="CM34" t="e">
        <f>AND(#REF!,"AAAAAHx/3Fo=")</f>
        <v>#REF!</v>
      </c>
      <c r="CN34" t="e">
        <f>AND(#REF!,"AAAAAHx/3Fs=")</f>
        <v>#REF!</v>
      </c>
      <c r="CO34" t="e">
        <f>AND(#REF!,"AAAAAHx/3Fw=")</f>
        <v>#REF!</v>
      </c>
      <c r="CP34" t="e">
        <f>AND(#REF!,"AAAAAHx/3F0=")</f>
        <v>#REF!</v>
      </c>
      <c r="CQ34" t="e">
        <f>AND(#REF!,"AAAAAHx/3F4=")</f>
        <v>#REF!</v>
      </c>
      <c r="CR34" t="e">
        <f>AND(#REF!,"AAAAAHx/3F8=")</f>
        <v>#REF!</v>
      </c>
      <c r="CS34" t="e">
        <f>AND(#REF!,"AAAAAHx/3GA=")</f>
        <v>#REF!</v>
      </c>
      <c r="CT34" t="e">
        <f>AND(#REF!,"AAAAAHx/3GE=")</f>
        <v>#REF!</v>
      </c>
      <c r="CU34" t="e">
        <f>AND(#REF!,"AAAAAHx/3GI=")</f>
        <v>#REF!</v>
      </c>
      <c r="CV34" t="e">
        <f>AND(#REF!,"AAAAAHx/3GM=")</f>
        <v>#REF!</v>
      </c>
      <c r="CW34" t="e">
        <f>AND(#REF!,"AAAAAHx/3GQ=")</f>
        <v>#REF!</v>
      </c>
      <c r="CX34" t="e">
        <f>AND(#REF!,"AAAAAHx/3GU=")</f>
        <v>#REF!</v>
      </c>
      <c r="CY34" t="e">
        <f>AND(#REF!,"AAAAAHx/3GY=")</f>
        <v>#REF!</v>
      </c>
      <c r="CZ34" t="e">
        <f>AND(#REF!,"AAAAAHx/3Gc=")</f>
        <v>#REF!</v>
      </c>
      <c r="DA34" t="e">
        <f>AND(#REF!,"AAAAAHx/3Gg=")</f>
        <v>#REF!</v>
      </c>
      <c r="DB34" t="e">
        <f>IF(#REF!,"AAAAAHx/3Gk=",0)</f>
        <v>#REF!</v>
      </c>
      <c r="DC34" t="e">
        <f>AND(#REF!,"AAAAAHx/3Go=")</f>
        <v>#REF!</v>
      </c>
      <c r="DD34" t="e">
        <f>AND(#REF!,"AAAAAHx/3Gs=")</f>
        <v>#REF!</v>
      </c>
      <c r="DE34" t="e">
        <f>AND(#REF!,"AAAAAHx/3Gw=")</f>
        <v>#REF!</v>
      </c>
      <c r="DF34" t="e">
        <f>AND(#REF!,"AAAAAHx/3G0=")</f>
        <v>#REF!</v>
      </c>
      <c r="DG34" t="e">
        <f>AND(#REF!,"AAAAAHx/3G4=")</f>
        <v>#REF!</v>
      </c>
      <c r="DH34" t="e">
        <f>AND(#REF!,"AAAAAHx/3G8=")</f>
        <v>#REF!</v>
      </c>
      <c r="DI34" t="e">
        <f>AND(#REF!,"AAAAAHx/3HA=")</f>
        <v>#REF!</v>
      </c>
      <c r="DJ34" t="e">
        <f>AND(#REF!,"AAAAAHx/3HE=")</f>
        <v>#REF!</v>
      </c>
      <c r="DK34" t="e">
        <f>AND(#REF!,"AAAAAHx/3HI=")</f>
        <v>#REF!</v>
      </c>
      <c r="DL34" t="e">
        <f>AND(#REF!,"AAAAAHx/3HM=")</f>
        <v>#REF!</v>
      </c>
      <c r="DM34" t="e">
        <f>AND(#REF!,"AAAAAHx/3HQ=")</f>
        <v>#REF!</v>
      </c>
      <c r="DN34" t="e">
        <f>AND(#REF!,"AAAAAHx/3HU=")</f>
        <v>#REF!</v>
      </c>
      <c r="DO34" t="e">
        <f>AND(#REF!,"AAAAAHx/3HY=")</f>
        <v>#REF!</v>
      </c>
      <c r="DP34" t="e">
        <f>AND(#REF!,"AAAAAHx/3Hc=")</f>
        <v>#REF!</v>
      </c>
      <c r="DQ34" t="e">
        <f>AND(#REF!,"AAAAAHx/3Hg=")</f>
        <v>#REF!</v>
      </c>
      <c r="DR34" t="e">
        <f>AND(#REF!,"AAAAAHx/3Hk=")</f>
        <v>#REF!</v>
      </c>
      <c r="DS34" t="e">
        <f>AND(#REF!,"AAAAAHx/3Ho=")</f>
        <v>#REF!</v>
      </c>
      <c r="DT34" t="e">
        <f>AND(#REF!,"AAAAAHx/3Hs=")</f>
        <v>#REF!</v>
      </c>
      <c r="DU34" t="e">
        <f>AND(#REF!,"AAAAAHx/3Hw=")</f>
        <v>#REF!</v>
      </c>
      <c r="DV34" t="e">
        <f>AND(#REF!,"AAAAAHx/3H0=")</f>
        <v>#REF!</v>
      </c>
      <c r="DW34" t="e">
        <f>AND(#REF!,"AAAAAHx/3H4=")</f>
        <v>#REF!</v>
      </c>
      <c r="DX34" t="e">
        <f>AND(#REF!,"AAAAAHx/3H8=")</f>
        <v>#REF!</v>
      </c>
      <c r="DY34" t="e">
        <f>AND(#REF!,"AAAAAHx/3IA=")</f>
        <v>#REF!</v>
      </c>
      <c r="DZ34" t="e">
        <f>AND(#REF!,"AAAAAHx/3IE=")</f>
        <v>#REF!</v>
      </c>
      <c r="EA34" t="e">
        <f>AND(#REF!,"AAAAAHx/3II=")</f>
        <v>#REF!</v>
      </c>
      <c r="EB34" t="e">
        <f>AND(#REF!,"AAAAAHx/3IM=")</f>
        <v>#REF!</v>
      </c>
      <c r="EC34" t="e">
        <f>IF(#REF!,"AAAAAHx/3IQ=",0)</f>
        <v>#REF!</v>
      </c>
      <c r="ED34" t="e">
        <f>AND(#REF!,"AAAAAHx/3IU=")</f>
        <v>#REF!</v>
      </c>
      <c r="EE34" t="e">
        <f>AND(#REF!,"AAAAAHx/3IY=")</f>
        <v>#REF!</v>
      </c>
      <c r="EF34" t="e">
        <f>AND(#REF!,"AAAAAHx/3Ic=")</f>
        <v>#REF!</v>
      </c>
      <c r="EG34" t="e">
        <f>AND(#REF!,"AAAAAHx/3Ig=")</f>
        <v>#REF!</v>
      </c>
      <c r="EH34" t="e">
        <f>AND(#REF!,"AAAAAHx/3Ik=")</f>
        <v>#REF!</v>
      </c>
      <c r="EI34" t="e">
        <f>AND(#REF!,"AAAAAHx/3Io=")</f>
        <v>#REF!</v>
      </c>
      <c r="EJ34" t="e">
        <f>AND(#REF!,"AAAAAHx/3Is=")</f>
        <v>#REF!</v>
      </c>
      <c r="EK34" t="e">
        <f>AND(#REF!,"AAAAAHx/3Iw=")</f>
        <v>#REF!</v>
      </c>
      <c r="EL34" t="e">
        <f>AND(#REF!,"AAAAAHx/3I0=")</f>
        <v>#REF!</v>
      </c>
      <c r="EM34" t="e">
        <f>AND(#REF!,"AAAAAHx/3I4=")</f>
        <v>#REF!</v>
      </c>
      <c r="EN34" t="e">
        <f>AND(#REF!,"AAAAAHx/3I8=")</f>
        <v>#REF!</v>
      </c>
      <c r="EO34" t="e">
        <f>AND(#REF!,"AAAAAHx/3JA=")</f>
        <v>#REF!</v>
      </c>
      <c r="EP34" t="e">
        <f>AND(#REF!,"AAAAAHx/3JE=")</f>
        <v>#REF!</v>
      </c>
      <c r="EQ34" t="e">
        <f>AND(#REF!,"AAAAAHx/3JI=")</f>
        <v>#REF!</v>
      </c>
      <c r="ER34" t="e">
        <f>AND(#REF!,"AAAAAHx/3JM=")</f>
        <v>#REF!</v>
      </c>
      <c r="ES34" t="e">
        <f>AND(#REF!,"AAAAAHx/3JQ=")</f>
        <v>#REF!</v>
      </c>
      <c r="ET34" t="e">
        <f>AND(#REF!,"AAAAAHx/3JU=")</f>
        <v>#REF!</v>
      </c>
      <c r="EU34" t="e">
        <f>AND(#REF!,"AAAAAHx/3JY=")</f>
        <v>#REF!</v>
      </c>
      <c r="EV34" t="e">
        <f>AND(#REF!,"AAAAAHx/3Jc=")</f>
        <v>#REF!</v>
      </c>
      <c r="EW34" t="e">
        <f>AND(#REF!,"AAAAAHx/3Jg=")</f>
        <v>#REF!</v>
      </c>
      <c r="EX34" t="e">
        <f>AND(#REF!,"AAAAAHx/3Jk=")</f>
        <v>#REF!</v>
      </c>
      <c r="EY34" t="e">
        <f>AND(#REF!,"AAAAAHx/3Jo=")</f>
        <v>#REF!</v>
      </c>
      <c r="EZ34" t="e">
        <f>AND(#REF!,"AAAAAHx/3Js=")</f>
        <v>#REF!</v>
      </c>
      <c r="FA34" t="e">
        <f>AND(#REF!,"AAAAAHx/3Jw=")</f>
        <v>#REF!</v>
      </c>
      <c r="FB34" t="e">
        <f>AND(#REF!,"AAAAAHx/3J0=")</f>
        <v>#REF!</v>
      </c>
      <c r="FC34" t="e">
        <f>AND(#REF!,"AAAAAHx/3J4=")</f>
        <v>#REF!</v>
      </c>
      <c r="FD34" t="e">
        <f>IF(#REF!,"AAAAAHx/3J8=",0)</f>
        <v>#REF!</v>
      </c>
      <c r="FE34" t="e">
        <f>AND(#REF!,"AAAAAHx/3KA=")</f>
        <v>#REF!</v>
      </c>
      <c r="FF34" t="e">
        <f>AND(#REF!,"AAAAAHx/3KE=")</f>
        <v>#REF!</v>
      </c>
      <c r="FG34" t="e">
        <f>AND(#REF!,"AAAAAHx/3KI=")</f>
        <v>#REF!</v>
      </c>
      <c r="FH34" t="e">
        <f>AND(#REF!,"AAAAAHx/3KM=")</f>
        <v>#REF!</v>
      </c>
      <c r="FI34" t="e">
        <f>AND(#REF!,"AAAAAHx/3KQ=")</f>
        <v>#REF!</v>
      </c>
      <c r="FJ34" t="e">
        <f>AND(#REF!,"AAAAAHx/3KU=")</f>
        <v>#REF!</v>
      </c>
      <c r="FK34" t="e">
        <f>AND(#REF!,"AAAAAHx/3KY=")</f>
        <v>#REF!</v>
      </c>
      <c r="FL34" t="e">
        <f>AND(#REF!,"AAAAAHx/3Kc=")</f>
        <v>#REF!</v>
      </c>
      <c r="FM34" t="e">
        <f>AND(#REF!,"AAAAAHx/3Kg=")</f>
        <v>#REF!</v>
      </c>
      <c r="FN34" t="e">
        <f>AND(#REF!,"AAAAAHx/3Kk=")</f>
        <v>#REF!</v>
      </c>
      <c r="FO34" t="e">
        <f>AND(#REF!,"AAAAAHx/3Ko=")</f>
        <v>#REF!</v>
      </c>
      <c r="FP34" t="e">
        <f>AND(#REF!,"AAAAAHx/3Ks=")</f>
        <v>#REF!</v>
      </c>
      <c r="FQ34" t="e">
        <f>AND(#REF!,"AAAAAHx/3Kw=")</f>
        <v>#REF!</v>
      </c>
      <c r="FR34" t="e">
        <f>AND(#REF!,"AAAAAHx/3K0=")</f>
        <v>#REF!</v>
      </c>
      <c r="FS34" t="e">
        <f>AND(#REF!,"AAAAAHx/3K4=")</f>
        <v>#REF!</v>
      </c>
      <c r="FT34" t="e">
        <f>AND(#REF!,"AAAAAHx/3K8=")</f>
        <v>#REF!</v>
      </c>
      <c r="FU34" t="e">
        <f>AND(#REF!,"AAAAAHx/3LA=")</f>
        <v>#REF!</v>
      </c>
      <c r="FV34" t="e">
        <f>AND(#REF!,"AAAAAHx/3LE=")</f>
        <v>#REF!</v>
      </c>
      <c r="FW34" t="e">
        <f>AND(#REF!,"AAAAAHx/3LI=")</f>
        <v>#REF!</v>
      </c>
      <c r="FX34" t="e">
        <f>AND(#REF!,"AAAAAHx/3LM=")</f>
        <v>#REF!</v>
      </c>
      <c r="FY34" t="e">
        <f>AND(#REF!,"AAAAAHx/3LQ=")</f>
        <v>#REF!</v>
      </c>
      <c r="FZ34" t="e">
        <f>AND(#REF!,"AAAAAHx/3LU=")</f>
        <v>#REF!</v>
      </c>
      <c r="GA34" t="e">
        <f>AND(#REF!,"AAAAAHx/3LY=")</f>
        <v>#REF!</v>
      </c>
      <c r="GB34" t="e">
        <f>AND(#REF!,"AAAAAHx/3Lc=")</f>
        <v>#REF!</v>
      </c>
      <c r="GC34" t="e">
        <f>AND(#REF!,"AAAAAHx/3Lg=")</f>
        <v>#REF!</v>
      </c>
      <c r="GD34" t="e">
        <f>AND(#REF!,"AAAAAHx/3Lk=")</f>
        <v>#REF!</v>
      </c>
      <c r="GE34" t="e">
        <f>IF(#REF!,"AAAAAHx/3Lo=",0)</f>
        <v>#REF!</v>
      </c>
      <c r="GF34" t="e">
        <f>AND(#REF!,"AAAAAHx/3Ls=")</f>
        <v>#REF!</v>
      </c>
      <c r="GG34" t="e">
        <f>AND(#REF!,"AAAAAHx/3Lw=")</f>
        <v>#REF!</v>
      </c>
      <c r="GH34" t="e">
        <f>AND(#REF!,"AAAAAHx/3L0=")</f>
        <v>#REF!</v>
      </c>
      <c r="GI34" t="e">
        <f>AND(#REF!,"AAAAAHx/3L4=")</f>
        <v>#REF!</v>
      </c>
      <c r="GJ34" t="e">
        <f>AND(#REF!,"AAAAAHx/3L8=")</f>
        <v>#REF!</v>
      </c>
      <c r="GK34" t="e">
        <f>AND(#REF!,"AAAAAHx/3MA=")</f>
        <v>#REF!</v>
      </c>
      <c r="GL34" t="e">
        <f>AND(#REF!,"AAAAAHx/3ME=")</f>
        <v>#REF!</v>
      </c>
      <c r="GM34" t="e">
        <f>AND(#REF!,"AAAAAHx/3MI=")</f>
        <v>#REF!</v>
      </c>
      <c r="GN34" t="e">
        <f>AND(#REF!,"AAAAAHx/3MM=")</f>
        <v>#REF!</v>
      </c>
      <c r="GO34" t="e">
        <f>AND(#REF!,"AAAAAHx/3MQ=")</f>
        <v>#REF!</v>
      </c>
      <c r="GP34" t="e">
        <f>AND(#REF!,"AAAAAHx/3MU=")</f>
        <v>#REF!</v>
      </c>
      <c r="GQ34" t="e">
        <f>AND(#REF!,"AAAAAHx/3MY=")</f>
        <v>#REF!</v>
      </c>
      <c r="GR34" t="e">
        <f>AND(#REF!,"AAAAAHx/3Mc=")</f>
        <v>#REF!</v>
      </c>
      <c r="GS34" t="e">
        <f>AND(#REF!,"AAAAAHx/3Mg=")</f>
        <v>#REF!</v>
      </c>
      <c r="GT34" t="e">
        <f>AND(#REF!,"AAAAAHx/3Mk=")</f>
        <v>#REF!</v>
      </c>
      <c r="GU34" t="e">
        <f>AND(#REF!,"AAAAAHx/3Mo=")</f>
        <v>#REF!</v>
      </c>
      <c r="GV34" t="e">
        <f>AND(#REF!,"AAAAAHx/3Ms=")</f>
        <v>#REF!</v>
      </c>
      <c r="GW34" t="e">
        <f>AND(#REF!,"AAAAAHx/3Mw=")</f>
        <v>#REF!</v>
      </c>
      <c r="GX34" t="e">
        <f>AND(#REF!,"AAAAAHx/3M0=")</f>
        <v>#REF!</v>
      </c>
      <c r="GY34" t="e">
        <f>AND(#REF!,"AAAAAHx/3M4=")</f>
        <v>#REF!</v>
      </c>
      <c r="GZ34" t="e">
        <f>AND(#REF!,"AAAAAHx/3M8=")</f>
        <v>#REF!</v>
      </c>
      <c r="HA34" t="e">
        <f>AND(#REF!,"AAAAAHx/3NA=")</f>
        <v>#REF!</v>
      </c>
      <c r="HB34" t="e">
        <f>AND(#REF!,"AAAAAHx/3NE=")</f>
        <v>#REF!</v>
      </c>
      <c r="HC34" t="e">
        <f>AND(#REF!,"AAAAAHx/3NI=")</f>
        <v>#REF!</v>
      </c>
      <c r="HD34" t="e">
        <f>AND(#REF!,"AAAAAHx/3NM=")</f>
        <v>#REF!</v>
      </c>
      <c r="HE34" t="e">
        <f>AND(#REF!,"AAAAAHx/3NQ=")</f>
        <v>#REF!</v>
      </c>
      <c r="HF34" t="e">
        <f>IF(#REF!,"AAAAAHx/3NU=",0)</f>
        <v>#REF!</v>
      </c>
      <c r="HG34" t="e">
        <f>AND(#REF!,"AAAAAHx/3NY=")</f>
        <v>#REF!</v>
      </c>
      <c r="HH34" t="e">
        <f>AND(#REF!,"AAAAAHx/3Nc=")</f>
        <v>#REF!</v>
      </c>
      <c r="HI34" t="e">
        <f>AND(#REF!,"AAAAAHx/3Ng=")</f>
        <v>#REF!</v>
      </c>
      <c r="HJ34" t="e">
        <f>AND(#REF!,"AAAAAHx/3Nk=")</f>
        <v>#REF!</v>
      </c>
      <c r="HK34" t="e">
        <f>AND(#REF!,"AAAAAHx/3No=")</f>
        <v>#REF!</v>
      </c>
      <c r="HL34" t="e">
        <f>AND(#REF!,"AAAAAHx/3Ns=")</f>
        <v>#REF!</v>
      </c>
      <c r="HM34" t="e">
        <f>AND(#REF!,"AAAAAHx/3Nw=")</f>
        <v>#REF!</v>
      </c>
      <c r="HN34" t="e">
        <f>AND(#REF!,"AAAAAHx/3N0=")</f>
        <v>#REF!</v>
      </c>
      <c r="HO34" t="e">
        <f>AND(#REF!,"AAAAAHx/3N4=")</f>
        <v>#REF!</v>
      </c>
      <c r="HP34" t="e">
        <f>AND(#REF!,"AAAAAHx/3N8=")</f>
        <v>#REF!</v>
      </c>
      <c r="HQ34" t="e">
        <f>AND(#REF!,"AAAAAHx/3OA=")</f>
        <v>#REF!</v>
      </c>
      <c r="HR34" t="e">
        <f>AND(#REF!,"AAAAAHx/3OE=")</f>
        <v>#REF!</v>
      </c>
      <c r="HS34" t="e">
        <f>AND(#REF!,"AAAAAHx/3OI=")</f>
        <v>#REF!</v>
      </c>
      <c r="HT34" t="e">
        <f>AND(#REF!,"AAAAAHx/3OM=")</f>
        <v>#REF!</v>
      </c>
      <c r="HU34" t="e">
        <f>AND(#REF!,"AAAAAHx/3OQ=")</f>
        <v>#REF!</v>
      </c>
      <c r="HV34" t="e">
        <f>AND(#REF!,"AAAAAHx/3OU=")</f>
        <v>#REF!</v>
      </c>
      <c r="HW34" t="e">
        <f>AND(#REF!,"AAAAAHx/3OY=")</f>
        <v>#REF!</v>
      </c>
      <c r="HX34" t="e">
        <f>AND(#REF!,"AAAAAHx/3Oc=")</f>
        <v>#REF!</v>
      </c>
      <c r="HY34" t="e">
        <f>AND(#REF!,"AAAAAHx/3Og=")</f>
        <v>#REF!</v>
      </c>
      <c r="HZ34" t="e">
        <f>AND(#REF!,"AAAAAHx/3Ok=")</f>
        <v>#REF!</v>
      </c>
      <c r="IA34" t="e">
        <f>AND(#REF!,"AAAAAHx/3Oo=")</f>
        <v>#REF!</v>
      </c>
      <c r="IB34" t="e">
        <f>AND(#REF!,"AAAAAHx/3Os=")</f>
        <v>#REF!</v>
      </c>
      <c r="IC34" t="e">
        <f>AND(#REF!,"AAAAAHx/3Ow=")</f>
        <v>#REF!</v>
      </c>
      <c r="ID34" t="e">
        <f>AND(#REF!,"AAAAAHx/3O0=")</f>
        <v>#REF!</v>
      </c>
      <c r="IE34" t="e">
        <f>AND(#REF!,"AAAAAHx/3O4=")</f>
        <v>#REF!</v>
      </c>
      <c r="IF34" t="e">
        <f>AND(#REF!,"AAAAAHx/3O8=")</f>
        <v>#REF!</v>
      </c>
      <c r="IG34" t="e">
        <f>IF(#REF!,"AAAAAHx/3PA=",0)</f>
        <v>#REF!</v>
      </c>
      <c r="IH34" t="e">
        <f>AND(#REF!,"AAAAAHx/3PE=")</f>
        <v>#REF!</v>
      </c>
      <c r="II34" t="e">
        <f>AND(#REF!,"AAAAAHx/3PI=")</f>
        <v>#REF!</v>
      </c>
      <c r="IJ34" t="e">
        <f>AND(#REF!,"AAAAAHx/3PM=")</f>
        <v>#REF!</v>
      </c>
      <c r="IK34" t="e">
        <f>AND(#REF!,"AAAAAHx/3PQ=")</f>
        <v>#REF!</v>
      </c>
      <c r="IL34" t="e">
        <f>AND(#REF!,"AAAAAHx/3PU=")</f>
        <v>#REF!</v>
      </c>
      <c r="IM34" t="e">
        <f>AND(#REF!,"AAAAAHx/3PY=")</f>
        <v>#REF!</v>
      </c>
      <c r="IN34" t="e">
        <f>AND(#REF!,"AAAAAHx/3Pc=")</f>
        <v>#REF!</v>
      </c>
      <c r="IO34" t="e">
        <f>AND(#REF!,"AAAAAHx/3Pg=")</f>
        <v>#REF!</v>
      </c>
      <c r="IP34" t="e">
        <f>AND(#REF!,"AAAAAHx/3Pk=")</f>
        <v>#REF!</v>
      </c>
      <c r="IQ34" t="e">
        <f>AND(#REF!,"AAAAAHx/3Po=")</f>
        <v>#REF!</v>
      </c>
      <c r="IR34" t="e">
        <f>AND(#REF!,"AAAAAHx/3Ps=")</f>
        <v>#REF!</v>
      </c>
      <c r="IS34" t="e">
        <f>AND(#REF!,"AAAAAHx/3Pw=")</f>
        <v>#REF!</v>
      </c>
      <c r="IT34" t="e">
        <f>AND(#REF!,"AAAAAHx/3P0=")</f>
        <v>#REF!</v>
      </c>
      <c r="IU34" t="e">
        <f>AND(#REF!,"AAAAAHx/3P4=")</f>
        <v>#REF!</v>
      </c>
      <c r="IV34" t="e">
        <f>AND(#REF!,"AAAAAHx/3P8=")</f>
        <v>#REF!</v>
      </c>
    </row>
    <row r="35" spans="1:256" x14ac:dyDescent="0.2">
      <c r="A35" t="e">
        <f>AND(#REF!,"AAAAAFe96wA=")</f>
        <v>#REF!</v>
      </c>
      <c r="B35" t="e">
        <f>AND(#REF!,"AAAAAFe96wE=")</f>
        <v>#REF!</v>
      </c>
      <c r="C35" t="e">
        <f>AND(#REF!,"AAAAAFe96wI=")</f>
        <v>#REF!</v>
      </c>
      <c r="D35" t="e">
        <f>AND(#REF!,"AAAAAFe96wM=")</f>
        <v>#REF!</v>
      </c>
      <c r="E35" t="e">
        <f>AND(#REF!,"AAAAAFe96wQ=")</f>
        <v>#REF!</v>
      </c>
      <c r="F35" t="e">
        <f>AND(#REF!,"AAAAAFe96wU=")</f>
        <v>#REF!</v>
      </c>
      <c r="G35" t="e">
        <f>AND(#REF!,"AAAAAFe96wY=")</f>
        <v>#REF!</v>
      </c>
      <c r="H35" t="e">
        <f>AND(#REF!,"AAAAAFe96wc=")</f>
        <v>#REF!</v>
      </c>
      <c r="I35" t="e">
        <f>AND(#REF!,"AAAAAFe96wg=")</f>
        <v>#REF!</v>
      </c>
      <c r="J35" t="e">
        <f>AND(#REF!,"AAAAAFe96wk=")</f>
        <v>#REF!</v>
      </c>
      <c r="K35" t="e">
        <f>AND(#REF!,"AAAAAFe96wo=")</f>
        <v>#REF!</v>
      </c>
      <c r="L35" t="e">
        <f>IF(#REF!,"AAAAAFe96ws=",0)</f>
        <v>#REF!</v>
      </c>
      <c r="M35" t="e">
        <f>AND(#REF!,"AAAAAFe96ww=")</f>
        <v>#REF!</v>
      </c>
      <c r="N35" t="e">
        <f>AND(#REF!,"AAAAAFe96w0=")</f>
        <v>#REF!</v>
      </c>
      <c r="O35" t="e">
        <f>AND(#REF!,"AAAAAFe96w4=")</f>
        <v>#REF!</v>
      </c>
      <c r="P35" t="e">
        <f>AND(#REF!,"AAAAAFe96w8=")</f>
        <v>#REF!</v>
      </c>
      <c r="Q35" t="e">
        <f>AND(#REF!,"AAAAAFe96xA=")</f>
        <v>#REF!</v>
      </c>
      <c r="R35" t="e">
        <f>AND(#REF!,"AAAAAFe96xE=")</f>
        <v>#REF!</v>
      </c>
      <c r="S35" t="e">
        <f>AND(#REF!,"AAAAAFe96xI=")</f>
        <v>#REF!</v>
      </c>
      <c r="T35" t="e">
        <f>AND(#REF!,"AAAAAFe96xM=")</f>
        <v>#REF!</v>
      </c>
      <c r="U35" t="e">
        <f>AND(#REF!,"AAAAAFe96xQ=")</f>
        <v>#REF!</v>
      </c>
      <c r="V35" t="e">
        <f>AND(#REF!,"AAAAAFe96xU=")</f>
        <v>#REF!</v>
      </c>
      <c r="W35" t="e">
        <f>AND(#REF!,"AAAAAFe96xY=")</f>
        <v>#REF!</v>
      </c>
      <c r="X35" t="e">
        <f>AND(#REF!,"AAAAAFe96xc=")</f>
        <v>#REF!</v>
      </c>
      <c r="Y35" t="e">
        <f>AND(#REF!,"AAAAAFe96xg=")</f>
        <v>#REF!</v>
      </c>
      <c r="Z35" t="e">
        <f>AND(#REF!,"AAAAAFe96xk=")</f>
        <v>#REF!</v>
      </c>
      <c r="AA35" t="e">
        <f>AND(#REF!,"AAAAAFe96xo=")</f>
        <v>#REF!</v>
      </c>
      <c r="AB35" t="e">
        <f>AND(#REF!,"AAAAAFe96xs=")</f>
        <v>#REF!</v>
      </c>
      <c r="AC35" t="e">
        <f>AND(#REF!,"AAAAAFe96xw=")</f>
        <v>#REF!</v>
      </c>
      <c r="AD35" t="e">
        <f>AND(#REF!,"AAAAAFe96x0=")</f>
        <v>#REF!</v>
      </c>
      <c r="AE35" t="e">
        <f>AND(#REF!,"AAAAAFe96x4=")</f>
        <v>#REF!</v>
      </c>
      <c r="AF35" t="e">
        <f>AND(#REF!,"AAAAAFe96x8=")</f>
        <v>#REF!</v>
      </c>
      <c r="AG35" t="e">
        <f>AND(#REF!,"AAAAAFe96yA=")</f>
        <v>#REF!</v>
      </c>
      <c r="AH35" t="e">
        <f>AND(#REF!,"AAAAAFe96yE=")</f>
        <v>#REF!</v>
      </c>
      <c r="AI35" t="e">
        <f>AND(#REF!,"AAAAAFe96yI=")</f>
        <v>#REF!</v>
      </c>
      <c r="AJ35" t="e">
        <f>AND(#REF!,"AAAAAFe96yM=")</f>
        <v>#REF!</v>
      </c>
      <c r="AK35" t="e">
        <f>AND(#REF!,"AAAAAFe96yQ=")</f>
        <v>#REF!</v>
      </c>
      <c r="AL35" t="e">
        <f>AND(#REF!,"AAAAAFe96yU=")</f>
        <v>#REF!</v>
      </c>
      <c r="AM35" t="e">
        <f>IF(#REF!,"AAAAAFe96yY=",0)</f>
        <v>#REF!</v>
      </c>
      <c r="AN35" t="e">
        <f>AND(#REF!,"AAAAAFe96yc=")</f>
        <v>#REF!</v>
      </c>
      <c r="AO35" t="e">
        <f>AND(#REF!,"AAAAAFe96yg=")</f>
        <v>#REF!</v>
      </c>
      <c r="AP35" t="e">
        <f>AND(#REF!,"AAAAAFe96yk=")</f>
        <v>#REF!</v>
      </c>
      <c r="AQ35" t="e">
        <f>AND(#REF!,"AAAAAFe96yo=")</f>
        <v>#REF!</v>
      </c>
      <c r="AR35" t="e">
        <f>AND(#REF!,"AAAAAFe96ys=")</f>
        <v>#REF!</v>
      </c>
      <c r="AS35" t="e">
        <f>AND(#REF!,"AAAAAFe96yw=")</f>
        <v>#REF!</v>
      </c>
      <c r="AT35" t="e">
        <f>AND(#REF!,"AAAAAFe96y0=")</f>
        <v>#REF!</v>
      </c>
      <c r="AU35" t="e">
        <f>AND(#REF!,"AAAAAFe96y4=")</f>
        <v>#REF!</v>
      </c>
      <c r="AV35" t="e">
        <f>AND(#REF!,"AAAAAFe96y8=")</f>
        <v>#REF!</v>
      </c>
      <c r="AW35" t="e">
        <f>AND(#REF!,"AAAAAFe96zA=")</f>
        <v>#REF!</v>
      </c>
      <c r="AX35" t="e">
        <f>AND(#REF!,"AAAAAFe96zE=")</f>
        <v>#REF!</v>
      </c>
      <c r="AY35" t="e">
        <f>AND(#REF!,"AAAAAFe96zI=")</f>
        <v>#REF!</v>
      </c>
      <c r="AZ35" t="e">
        <f>AND(#REF!,"AAAAAFe96zM=")</f>
        <v>#REF!</v>
      </c>
      <c r="BA35" t="e">
        <f>AND(#REF!,"AAAAAFe96zQ=")</f>
        <v>#REF!</v>
      </c>
      <c r="BB35" t="e">
        <f>AND(#REF!,"AAAAAFe96zU=")</f>
        <v>#REF!</v>
      </c>
      <c r="BC35" t="e">
        <f>AND(#REF!,"AAAAAFe96zY=")</f>
        <v>#REF!</v>
      </c>
      <c r="BD35" t="e">
        <f>AND(#REF!,"AAAAAFe96zc=")</f>
        <v>#REF!</v>
      </c>
      <c r="BE35" t="e">
        <f>AND(#REF!,"AAAAAFe96zg=")</f>
        <v>#REF!</v>
      </c>
      <c r="BF35" t="e">
        <f>AND(#REF!,"AAAAAFe96zk=")</f>
        <v>#REF!</v>
      </c>
      <c r="BG35" t="e">
        <f>AND(#REF!,"AAAAAFe96zo=")</f>
        <v>#REF!</v>
      </c>
      <c r="BH35" t="e">
        <f>AND(#REF!,"AAAAAFe96zs=")</f>
        <v>#REF!</v>
      </c>
      <c r="BI35" t="e">
        <f>AND(#REF!,"AAAAAFe96zw=")</f>
        <v>#REF!</v>
      </c>
      <c r="BJ35" t="e">
        <f>AND(#REF!,"AAAAAFe96z0=")</f>
        <v>#REF!</v>
      </c>
      <c r="BK35" t="e">
        <f>AND(#REF!,"AAAAAFe96z4=")</f>
        <v>#REF!</v>
      </c>
      <c r="BL35" t="e">
        <f>AND(#REF!,"AAAAAFe96z8=")</f>
        <v>#REF!</v>
      </c>
      <c r="BM35" t="e">
        <f>AND(#REF!,"AAAAAFe960A=")</f>
        <v>#REF!</v>
      </c>
      <c r="BN35" t="e">
        <f>IF(#REF!,"AAAAAFe960E=",0)</f>
        <v>#REF!</v>
      </c>
      <c r="BO35" t="e">
        <f>AND(#REF!,"AAAAAFe960I=")</f>
        <v>#REF!</v>
      </c>
      <c r="BP35" t="e">
        <f>AND(#REF!,"AAAAAFe960M=")</f>
        <v>#REF!</v>
      </c>
      <c r="BQ35" t="e">
        <f>AND(#REF!,"AAAAAFe960Q=")</f>
        <v>#REF!</v>
      </c>
      <c r="BR35" t="e">
        <f>AND(#REF!,"AAAAAFe960U=")</f>
        <v>#REF!</v>
      </c>
      <c r="BS35" t="e">
        <f>AND(#REF!,"AAAAAFe960Y=")</f>
        <v>#REF!</v>
      </c>
      <c r="BT35" t="e">
        <f>AND(#REF!,"AAAAAFe960c=")</f>
        <v>#REF!</v>
      </c>
      <c r="BU35" t="e">
        <f>AND(#REF!,"AAAAAFe960g=")</f>
        <v>#REF!</v>
      </c>
      <c r="BV35" t="e">
        <f>AND(#REF!,"AAAAAFe960k=")</f>
        <v>#REF!</v>
      </c>
      <c r="BW35" t="e">
        <f>AND(#REF!,"AAAAAFe960o=")</f>
        <v>#REF!</v>
      </c>
      <c r="BX35" t="e">
        <f>AND(#REF!,"AAAAAFe960s=")</f>
        <v>#REF!</v>
      </c>
      <c r="BY35" t="e">
        <f>AND(#REF!,"AAAAAFe960w=")</f>
        <v>#REF!</v>
      </c>
      <c r="BZ35" t="e">
        <f>AND(#REF!,"AAAAAFe9600=")</f>
        <v>#REF!</v>
      </c>
      <c r="CA35" t="e">
        <f>AND(#REF!,"AAAAAFe9604=")</f>
        <v>#REF!</v>
      </c>
      <c r="CB35" t="e">
        <f>AND(#REF!,"AAAAAFe9608=")</f>
        <v>#REF!</v>
      </c>
      <c r="CC35" t="e">
        <f>AND(#REF!,"AAAAAFe961A=")</f>
        <v>#REF!</v>
      </c>
      <c r="CD35" t="e">
        <f>AND(#REF!,"AAAAAFe961E=")</f>
        <v>#REF!</v>
      </c>
      <c r="CE35" t="e">
        <f>AND(#REF!,"AAAAAFe961I=")</f>
        <v>#REF!</v>
      </c>
      <c r="CF35" t="e">
        <f>AND(#REF!,"AAAAAFe961M=")</f>
        <v>#REF!</v>
      </c>
      <c r="CG35" t="e">
        <f>AND(#REF!,"AAAAAFe961Q=")</f>
        <v>#REF!</v>
      </c>
      <c r="CH35" t="e">
        <f>AND(#REF!,"AAAAAFe961U=")</f>
        <v>#REF!</v>
      </c>
      <c r="CI35" t="e">
        <f>AND(#REF!,"AAAAAFe961Y=")</f>
        <v>#REF!</v>
      </c>
      <c r="CJ35" t="e">
        <f>AND(#REF!,"AAAAAFe961c=")</f>
        <v>#REF!</v>
      </c>
      <c r="CK35" t="e">
        <f>AND(#REF!,"AAAAAFe961g=")</f>
        <v>#REF!</v>
      </c>
      <c r="CL35" t="e">
        <f>AND(#REF!,"AAAAAFe961k=")</f>
        <v>#REF!</v>
      </c>
      <c r="CM35" t="e">
        <f>AND(#REF!,"AAAAAFe961o=")</f>
        <v>#REF!</v>
      </c>
      <c r="CN35" t="e">
        <f>AND(#REF!,"AAAAAFe961s=")</f>
        <v>#REF!</v>
      </c>
      <c r="CO35" t="e">
        <f>IF(#REF!,"AAAAAFe961w=",0)</f>
        <v>#REF!</v>
      </c>
      <c r="CP35" t="e">
        <f>AND(#REF!,"AAAAAFe9610=")</f>
        <v>#REF!</v>
      </c>
      <c r="CQ35" t="e">
        <f>AND(#REF!,"AAAAAFe9614=")</f>
        <v>#REF!</v>
      </c>
      <c r="CR35" t="e">
        <f>AND(#REF!,"AAAAAFe9618=")</f>
        <v>#REF!</v>
      </c>
      <c r="CS35" t="e">
        <f>AND(#REF!,"AAAAAFe962A=")</f>
        <v>#REF!</v>
      </c>
      <c r="CT35" t="e">
        <f>AND(#REF!,"AAAAAFe962E=")</f>
        <v>#REF!</v>
      </c>
      <c r="CU35" t="e">
        <f>AND(#REF!,"AAAAAFe962I=")</f>
        <v>#REF!</v>
      </c>
      <c r="CV35" t="e">
        <f>AND(#REF!,"AAAAAFe962M=")</f>
        <v>#REF!</v>
      </c>
      <c r="CW35" t="e">
        <f>AND(#REF!,"AAAAAFe962Q=")</f>
        <v>#REF!</v>
      </c>
      <c r="CX35" t="e">
        <f>AND(#REF!,"AAAAAFe962U=")</f>
        <v>#REF!</v>
      </c>
      <c r="CY35" t="e">
        <f>AND(#REF!,"AAAAAFe962Y=")</f>
        <v>#REF!</v>
      </c>
      <c r="CZ35" t="e">
        <f>AND(#REF!,"AAAAAFe962c=")</f>
        <v>#REF!</v>
      </c>
      <c r="DA35" t="e">
        <f>AND(#REF!,"AAAAAFe962g=")</f>
        <v>#REF!</v>
      </c>
      <c r="DB35" t="e">
        <f>AND(#REF!,"AAAAAFe962k=")</f>
        <v>#REF!</v>
      </c>
      <c r="DC35" t="e">
        <f>AND(#REF!,"AAAAAFe962o=")</f>
        <v>#REF!</v>
      </c>
      <c r="DD35" t="e">
        <f>AND(#REF!,"AAAAAFe962s=")</f>
        <v>#REF!</v>
      </c>
      <c r="DE35" t="e">
        <f>AND(#REF!,"AAAAAFe962w=")</f>
        <v>#REF!</v>
      </c>
      <c r="DF35" t="e">
        <f>AND(#REF!,"AAAAAFe9620=")</f>
        <v>#REF!</v>
      </c>
      <c r="DG35" t="e">
        <f>AND(#REF!,"AAAAAFe9624=")</f>
        <v>#REF!</v>
      </c>
      <c r="DH35" t="e">
        <f>AND(#REF!,"AAAAAFe9628=")</f>
        <v>#REF!</v>
      </c>
      <c r="DI35" t="e">
        <f>AND(#REF!,"AAAAAFe963A=")</f>
        <v>#REF!</v>
      </c>
      <c r="DJ35" t="e">
        <f>AND(#REF!,"AAAAAFe963E=")</f>
        <v>#REF!</v>
      </c>
      <c r="DK35" t="e">
        <f>AND(#REF!,"AAAAAFe963I=")</f>
        <v>#REF!</v>
      </c>
      <c r="DL35" t="e">
        <f>AND(#REF!,"AAAAAFe963M=")</f>
        <v>#REF!</v>
      </c>
      <c r="DM35" t="e">
        <f>AND(#REF!,"AAAAAFe963Q=")</f>
        <v>#REF!</v>
      </c>
      <c r="DN35" t="e">
        <f>AND(#REF!,"AAAAAFe963U=")</f>
        <v>#REF!</v>
      </c>
      <c r="DO35" t="e">
        <f>AND(#REF!,"AAAAAFe963Y=")</f>
        <v>#REF!</v>
      </c>
      <c r="DP35" t="e">
        <f>IF(#REF!,"AAAAAFe963c=",0)</f>
        <v>#REF!</v>
      </c>
      <c r="DQ35" t="e">
        <f>AND(#REF!,"AAAAAFe963g=")</f>
        <v>#REF!</v>
      </c>
      <c r="DR35" t="e">
        <f>AND(#REF!,"AAAAAFe963k=")</f>
        <v>#REF!</v>
      </c>
      <c r="DS35" t="e">
        <f>AND(#REF!,"AAAAAFe963o=")</f>
        <v>#REF!</v>
      </c>
      <c r="DT35" t="e">
        <f>AND(#REF!,"AAAAAFe963s=")</f>
        <v>#REF!</v>
      </c>
      <c r="DU35" t="e">
        <f>AND(#REF!,"AAAAAFe963w=")</f>
        <v>#REF!</v>
      </c>
      <c r="DV35" t="e">
        <f>AND(#REF!,"AAAAAFe9630=")</f>
        <v>#REF!</v>
      </c>
      <c r="DW35" t="e">
        <f>AND(#REF!,"AAAAAFe9634=")</f>
        <v>#REF!</v>
      </c>
      <c r="DX35" t="e">
        <f>AND(#REF!,"AAAAAFe9638=")</f>
        <v>#REF!</v>
      </c>
      <c r="DY35" t="e">
        <f>AND(#REF!,"AAAAAFe964A=")</f>
        <v>#REF!</v>
      </c>
      <c r="DZ35" t="e">
        <f>AND(#REF!,"AAAAAFe964E=")</f>
        <v>#REF!</v>
      </c>
      <c r="EA35" t="e">
        <f>AND(#REF!,"AAAAAFe964I=")</f>
        <v>#REF!</v>
      </c>
      <c r="EB35" t="e">
        <f>AND(#REF!,"AAAAAFe964M=")</f>
        <v>#REF!</v>
      </c>
      <c r="EC35" t="e">
        <f>AND(#REF!,"AAAAAFe964Q=")</f>
        <v>#REF!</v>
      </c>
      <c r="ED35" t="e">
        <f>AND(#REF!,"AAAAAFe964U=")</f>
        <v>#REF!</v>
      </c>
      <c r="EE35" t="e">
        <f>AND(#REF!,"AAAAAFe964Y=")</f>
        <v>#REF!</v>
      </c>
      <c r="EF35" t="e">
        <f>AND(#REF!,"AAAAAFe964c=")</f>
        <v>#REF!</v>
      </c>
      <c r="EG35" t="e">
        <f>AND(#REF!,"AAAAAFe964g=")</f>
        <v>#REF!</v>
      </c>
      <c r="EH35" t="e">
        <f>AND(#REF!,"AAAAAFe964k=")</f>
        <v>#REF!</v>
      </c>
      <c r="EI35" t="e">
        <f>AND(#REF!,"AAAAAFe964o=")</f>
        <v>#REF!</v>
      </c>
      <c r="EJ35" t="e">
        <f>AND(#REF!,"AAAAAFe964s=")</f>
        <v>#REF!</v>
      </c>
      <c r="EK35" t="e">
        <f>AND(#REF!,"AAAAAFe964w=")</f>
        <v>#REF!</v>
      </c>
      <c r="EL35" t="e">
        <f>AND(#REF!,"AAAAAFe9640=")</f>
        <v>#REF!</v>
      </c>
      <c r="EM35" t="e">
        <f>AND(#REF!,"AAAAAFe9644=")</f>
        <v>#REF!</v>
      </c>
      <c r="EN35" t="e">
        <f>AND(#REF!,"AAAAAFe9648=")</f>
        <v>#REF!</v>
      </c>
      <c r="EO35" t="e">
        <f>AND(#REF!,"AAAAAFe965A=")</f>
        <v>#REF!</v>
      </c>
      <c r="EP35" t="e">
        <f>AND(#REF!,"AAAAAFe965E=")</f>
        <v>#REF!</v>
      </c>
      <c r="EQ35" t="e">
        <f>IF(#REF!,"AAAAAFe965I=",0)</f>
        <v>#REF!</v>
      </c>
      <c r="ER35" t="e">
        <f>AND(#REF!,"AAAAAFe965M=")</f>
        <v>#REF!</v>
      </c>
      <c r="ES35" t="e">
        <f>AND(#REF!,"AAAAAFe965Q=")</f>
        <v>#REF!</v>
      </c>
      <c r="ET35" t="e">
        <f>AND(#REF!,"AAAAAFe965U=")</f>
        <v>#REF!</v>
      </c>
      <c r="EU35" t="e">
        <f>AND(#REF!,"AAAAAFe965Y=")</f>
        <v>#REF!</v>
      </c>
      <c r="EV35" t="e">
        <f>AND(#REF!,"AAAAAFe965c=")</f>
        <v>#REF!</v>
      </c>
      <c r="EW35" t="e">
        <f>AND(#REF!,"AAAAAFe965g=")</f>
        <v>#REF!</v>
      </c>
      <c r="EX35" t="e">
        <f>AND(#REF!,"AAAAAFe965k=")</f>
        <v>#REF!</v>
      </c>
      <c r="EY35" t="e">
        <f>AND(#REF!,"AAAAAFe965o=")</f>
        <v>#REF!</v>
      </c>
      <c r="EZ35" t="e">
        <f>AND(#REF!,"AAAAAFe965s=")</f>
        <v>#REF!</v>
      </c>
      <c r="FA35" t="e">
        <f>AND(#REF!,"AAAAAFe965w=")</f>
        <v>#REF!</v>
      </c>
      <c r="FB35" t="e">
        <f>AND(#REF!,"AAAAAFe9650=")</f>
        <v>#REF!</v>
      </c>
      <c r="FC35" t="e">
        <f>AND(#REF!,"AAAAAFe9654=")</f>
        <v>#REF!</v>
      </c>
      <c r="FD35" t="e">
        <f>AND(#REF!,"AAAAAFe9658=")</f>
        <v>#REF!</v>
      </c>
      <c r="FE35" t="e">
        <f>AND(#REF!,"AAAAAFe966A=")</f>
        <v>#REF!</v>
      </c>
      <c r="FF35" t="e">
        <f>AND(#REF!,"AAAAAFe966E=")</f>
        <v>#REF!</v>
      </c>
      <c r="FG35" t="e">
        <f>AND(#REF!,"AAAAAFe966I=")</f>
        <v>#REF!</v>
      </c>
      <c r="FH35" t="e">
        <f>AND(#REF!,"AAAAAFe966M=")</f>
        <v>#REF!</v>
      </c>
      <c r="FI35" t="e">
        <f>AND(#REF!,"AAAAAFe966Q=")</f>
        <v>#REF!</v>
      </c>
      <c r="FJ35" t="e">
        <f>AND(#REF!,"AAAAAFe966U=")</f>
        <v>#REF!</v>
      </c>
      <c r="FK35" t="e">
        <f>AND(#REF!,"AAAAAFe966Y=")</f>
        <v>#REF!</v>
      </c>
      <c r="FL35" t="e">
        <f>AND(#REF!,"AAAAAFe966c=")</f>
        <v>#REF!</v>
      </c>
      <c r="FM35" t="e">
        <f>AND(#REF!,"AAAAAFe966g=")</f>
        <v>#REF!</v>
      </c>
      <c r="FN35" t="e">
        <f>AND(#REF!,"AAAAAFe966k=")</f>
        <v>#REF!</v>
      </c>
      <c r="FO35" t="e">
        <f>AND(#REF!,"AAAAAFe966o=")</f>
        <v>#REF!</v>
      </c>
      <c r="FP35" t="e">
        <f>AND(#REF!,"AAAAAFe966s=")</f>
        <v>#REF!</v>
      </c>
      <c r="FQ35" t="e">
        <f>AND(#REF!,"AAAAAFe966w=")</f>
        <v>#REF!</v>
      </c>
      <c r="FR35" t="e">
        <f>IF(#REF!,"AAAAAFe9660=",0)</f>
        <v>#REF!</v>
      </c>
      <c r="FS35" t="e">
        <f>AND(#REF!,"AAAAAFe9664=")</f>
        <v>#REF!</v>
      </c>
      <c r="FT35" t="e">
        <f>AND(#REF!,"AAAAAFe9668=")</f>
        <v>#REF!</v>
      </c>
      <c r="FU35" t="e">
        <f>AND(#REF!,"AAAAAFe967A=")</f>
        <v>#REF!</v>
      </c>
      <c r="FV35" t="e">
        <f>AND(#REF!,"AAAAAFe967E=")</f>
        <v>#REF!</v>
      </c>
      <c r="FW35" t="e">
        <f>AND(#REF!,"AAAAAFe967I=")</f>
        <v>#REF!</v>
      </c>
      <c r="FX35" t="e">
        <f>AND(#REF!,"AAAAAFe967M=")</f>
        <v>#REF!</v>
      </c>
      <c r="FY35" t="e">
        <f>AND(#REF!,"AAAAAFe967Q=")</f>
        <v>#REF!</v>
      </c>
      <c r="FZ35" t="e">
        <f>AND(#REF!,"AAAAAFe967U=")</f>
        <v>#REF!</v>
      </c>
      <c r="GA35" t="e">
        <f>AND(#REF!,"AAAAAFe967Y=")</f>
        <v>#REF!</v>
      </c>
      <c r="GB35" t="e">
        <f>AND(#REF!,"AAAAAFe967c=")</f>
        <v>#REF!</v>
      </c>
      <c r="GC35" t="e">
        <f>AND(#REF!,"AAAAAFe967g=")</f>
        <v>#REF!</v>
      </c>
      <c r="GD35" t="e">
        <f>AND(#REF!,"AAAAAFe967k=")</f>
        <v>#REF!</v>
      </c>
      <c r="GE35" t="e">
        <f>AND(#REF!,"AAAAAFe967o=")</f>
        <v>#REF!</v>
      </c>
      <c r="GF35" t="e">
        <f>AND(#REF!,"AAAAAFe967s=")</f>
        <v>#REF!</v>
      </c>
      <c r="GG35" t="e">
        <f>AND(#REF!,"AAAAAFe967w=")</f>
        <v>#REF!</v>
      </c>
      <c r="GH35" t="e">
        <f>AND(#REF!,"AAAAAFe9670=")</f>
        <v>#REF!</v>
      </c>
      <c r="GI35" t="e">
        <f>AND(#REF!,"AAAAAFe9674=")</f>
        <v>#REF!</v>
      </c>
      <c r="GJ35" t="e">
        <f>AND(#REF!,"AAAAAFe9678=")</f>
        <v>#REF!</v>
      </c>
      <c r="GK35" t="e">
        <f>AND(#REF!,"AAAAAFe968A=")</f>
        <v>#REF!</v>
      </c>
      <c r="GL35" t="e">
        <f>AND(#REF!,"AAAAAFe968E=")</f>
        <v>#REF!</v>
      </c>
      <c r="GM35" t="e">
        <f>AND(#REF!,"AAAAAFe968I=")</f>
        <v>#REF!</v>
      </c>
      <c r="GN35" t="e">
        <f>AND(#REF!,"AAAAAFe968M=")</f>
        <v>#REF!</v>
      </c>
      <c r="GO35" t="e">
        <f>AND(#REF!,"AAAAAFe968Q=")</f>
        <v>#REF!</v>
      </c>
      <c r="GP35" t="e">
        <f>AND(#REF!,"AAAAAFe968U=")</f>
        <v>#REF!</v>
      </c>
      <c r="GQ35" t="e">
        <f>AND(#REF!,"AAAAAFe968Y=")</f>
        <v>#REF!</v>
      </c>
      <c r="GR35" t="e">
        <f>AND(#REF!,"AAAAAFe968c=")</f>
        <v>#REF!</v>
      </c>
      <c r="GS35" t="e">
        <f>IF(#REF!,"AAAAAFe968g=",0)</f>
        <v>#REF!</v>
      </c>
      <c r="GT35" t="e">
        <f>AND(#REF!,"AAAAAFe968k=")</f>
        <v>#REF!</v>
      </c>
      <c r="GU35" t="e">
        <f>AND(#REF!,"AAAAAFe968o=")</f>
        <v>#REF!</v>
      </c>
      <c r="GV35" t="e">
        <f>AND(#REF!,"AAAAAFe968s=")</f>
        <v>#REF!</v>
      </c>
      <c r="GW35" t="e">
        <f>AND(#REF!,"AAAAAFe968w=")</f>
        <v>#REF!</v>
      </c>
      <c r="GX35" t="e">
        <f>AND(#REF!,"AAAAAFe9680=")</f>
        <v>#REF!</v>
      </c>
      <c r="GY35" t="e">
        <f>AND(#REF!,"AAAAAFe9684=")</f>
        <v>#REF!</v>
      </c>
      <c r="GZ35" t="e">
        <f>AND(#REF!,"AAAAAFe9688=")</f>
        <v>#REF!</v>
      </c>
      <c r="HA35" t="e">
        <f>AND(#REF!,"AAAAAFe969A=")</f>
        <v>#REF!</v>
      </c>
      <c r="HB35" t="e">
        <f>AND(#REF!,"AAAAAFe969E=")</f>
        <v>#REF!</v>
      </c>
      <c r="HC35" t="e">
        <f>AND(#REF!,"AAAAAFe969I=")</f>
        <v>#REF!</v>
      </c>
      <c r="HD35" t="e">
        <f>AND(#REF!,"AAAAAFe969M=")</f>
        <v>#REF!</v>
      </c>
      <c r="HE35" t="e">
        <f>AND(#REF!,"AAAAAFe969Q=")</f>
        <v>#REF!</v>
      </c>
      <c r="HF35" t="e">
        <f>AND(#REF!,"AAAAAFe969U=")</f>
        <v>#REF!</v>
      </c>
      <c r="HG35" t="e">
        <f>AND(#REF!,"AAAAAFe969Y=")</f>
        <v>#REF!</v>
      </c>
      <c r="HH35" t="e">
        <f>AND(#REF!,"AAAAAFe969c=")</f>
        <v>#REF!</v>
      </c>
      <c r="HI35" t="e">
        <f>AND(#REF!,"AAAAAFe969g=")</f>
        <v>#REF!</v>
      </c>
      <c r="HJ35" t="e">
        <f>AND(#REF!,"AAAAAFe969k=")</f>
        <v>#REF!</v>
      </c>
      <c r="HK35" t="e">
        <f>AND(#REF!,"AAAAAFe969o=")</f>
        <v>#REF!</v>
      </c>
      <c r="HL35" t="e">
        <f>AND(#REF!,"AAAAAFe969s=")</f>
        <v>#REF!</v>
      </c>
      <c r="HM35" t="e">
        <f>AND(#REF!,"AAAAAFe969w=")</f>
        <v>#REF!</v>
      </c>
      <c r="HN35" t="e">
        <f>AND(#REF!,"AAAAAFe9690=")</f>
        <v>#REF!</v>
      </c>
      <c r="HO35" t="e">
        <f>AND(#REF!,"AAAAAFe9694=")</f>
        <v>#REF!</v>
      </c>
      <c r="HP35" t="e">
        <f>AND(#REF!,"AAAAAFe9698=")</f>
        <v>#REF!</v>
      </c>
      <c r="HQ35" t="e">
        <f>AND(#REF!,"AAAAAFe96+A=")</f>
        <v>#REF!</v>
      </c>
      <c r="HR35" t="e">
        <f>AND(#REF!,"AAAAAFe96+E=")</f>
        <v>#REF!</v>
      </c>
      <c r="HS35" t="e">
        <f>AND(#REF!,"AAAAAFe96+I=")</f>
        <v>#REF!</v>
      </c>
      <c r="HT35" t="e">
        <f>IF(#REF!,"AAAAAFe96+M=",0)</f>
        <v>#REF!</v>
      </c>
      <c r="HU35" t="e">
        <f>AND(#REF!,"AAAAAFe96+Q=")</f>
        <v>#REF!</v>
      </c>
      <c r="HV35" t="e">
        <f>AND(#REF!,"AAAAAFe96+U=")</f>
        <v>#REF!</v>
      </c>
      <c r="HW35" t="e">
        <f>AND(#REF!,"AAAAAFe96+Y=")</f>
        <v>#REF!</v>
      </c>
      <c r="HX35" t="e">
        <f>AND(#REF!,"AAAAAFe96+c=")</f>
        <v>#REF!</v>
      </c>
      <c r="HY35" t="e">
        <f>AND(#REF!,"AAAAAFe96+g=")</f>
        <v>#REF!</v>
      </c>
      <c r="HZ35" t="e">
        <f>AND(#REF!,"AAAAAFe96+k=")</f>
        <v>#REF!</v>
      </c>
      <c r="IA35" t="e">
        <f>AND(#REF!,"AAAAAFe96+o=")</f>
        <v>#REF!</v>
      </c>
      <c r="IB35" t="e">
        <f>AND(#REF!,"AAAAAFe96+s=")</f>
        <v>#REF!</v>
      </c>
      <c r="IC35" t="e">
        <f>AND(#REF!,"AAAAAFe96+w=")</f>
        <v>#REF!</v>
      </c>
      <c r="ID35" t="e">
        <f>AND(#REF!,"AAAAAFe96+0=")</f>
        <v>#REF!</v>
      </c>
      <c r="IE35" t="e">
        <f>AND(#REF!,"AAAAAFe96+4=")</f>
        <v>#REF!</v>
      </c>
      <c r="IF35" t="e">
        <f>AND(#REF!,"AAAAAFe96+8=")</f>
        <v>#REF!</v>
      </c>
      <c r="IG35" t="e">
        <f>AND(#REF!,"AAAAAFe96/A=")</f>
        <v>#REF!</v>
      </c>
      <c r="IH35" t="e">
        <f>AND(#REF!,"AAAAAFe96/E=")</f>
        <v>#REF!</v>
      </c>
      <c r="II35" t="e">
        <f>AND(#REF!,"AAAAAFe96/I=")</f>
        <v>#REF!</v>
      </c>
      <c r="IJ35" t="e">
        <f>AND(#REF!,"AAAAAFe96/M=")</f>
        <v>#REF!</v>
      </c>
      <c r="IK35" t="e">
        <f>AND(#REF!,"AAAAAFe96/Q=")</f>
        <v>#REF!</v>
      </c>
      <c r="IL35" t="e">
        <f>AND(#REF!,"AAAAAFe96/U=")</f>
        <v>#REF!</v>
      </c>
      <c r="IM35" t="e">
        <f>AND(#REF!,"AAAAAFe96/Y=")</f>
        <v>#REF!</v>
      </c>
      <c r="IN35" t="e">
        <f>AND(#REF!,"AAAAAFe96/c=")</f>
        <v>#REF!</v>
      </c>
      <c r="IO35" t="e">
        <f>AND(#REF!,"AAAAAFe96/g=")</f>
        <v>#REF!</v>
      </c>
      <c r="IP35" t="e">
        <f>AND(#REF!,"AAAAAFe96/k=")</f>
        <v>#REF!</v>
      </c>
      <c r="IQ35" t="e">
        <f>AND(#REF!,"AAAAAFe96/o=")</f>
        <v>#REF!</v>
      </c>
      <c r="IR35" t="e">
        <f>AND(#REF!,"AAAAAFe96/s=")</f>
        <v>#REF!</v>
      </c>
      <c r="IS35" t="e">
        <f>AND(#REF!,"AAAAAFe96/w=")</f>
        <v>#REF!</v>
      </c>
      <c r="IT35" t="e">
        <f>AND(#REF!,"AAAAAFe96/0=")</f>
        <v>#REF!</v>
      </c>
      <c r="IU35" t="e">
        <f>IF(#REF!,"AAAAAFe96/4=",0)</f>
        <v>#REF!</v>
      </c>
      <c r="IV35" t="e">
        <f>AND(#REF!,"AAAAAFe96/8=")</f>
        <v>#REF!</v>
      </c>
    </row>
    <row r="36" spans="1:256" x14ac:dyDescent="0.2">
      <c r="A36" t="e">
        <f>AND(#REF!,"AAAAAHN9/wA=")</f>
        <v>#REF!</v>
      </c>
      <c r="B36" t="e">
        <f>AND(#REF!,"AAAAAHN9/wE=")</f>
        <v>#REF!</v>
      </c>
      <c r="C36" t="e">
        <f>AND(#REF!,"AAAAAHN9/wI=")</f>
        <v>#REF!</v>
      </c>
      <c r="D36" t="e">
        <f>AND(#REF!,"AAAAAHN9/wM=")</f>
        <v>#REF!</v>
      </c>
      <c r="E36" t="e">
        <f>AND(#REF!,"AAAAAHN9/wQ=")</f>
        <v>#REF!</v>
      </c>
      <c r="F36" t="e">
        <f>AND(#REF!,"AAAAAHN9/wU=")</f>
        <v>#REF!</v>
      </c>
      <c r="G36" t="e">
        <f>AND(#REF!,"AAAAAHN9/wY=")</f>
        <v>#REF!</v>
      </c>
      <c r="H36" t="e">
        <f>AND(#REF!,"AAAAAHN9/wc=")</f>
        <v>#REF!</v>
      </c>
      <c r="I36" t="e">
        <f>AND(#REF!,"AAAAAHN9/wg=")</f>
        <v>#REF!</v>
      </c>
      <c r="J36" t="e">
        <f>AND(#REF!,"AAAAAHN9/wk=")</f>
        <v>#REF!</v>
      </c>
      <c r="K36" t="e">
        <f>AND(#REF!,"AAAAAHN9/wo=")</f>
        <v>#REF!</v>
      </c>
      <c r="L36" t="e">
        <f>AND(#REF!,"AAAAAHN9/ws=")</f>
        <v>#REF!</v>
      </c>
      <c r="M36" t="e">
        <f>AND(#REF!,"AAAAAHN9/ww=")</f>
        <v>#REF!</v>
      </c>
      <c r="N36" t="e">
        <f>AND(#REF!,"AAAAAHN9/w0=")</f>
        <v>#REF!</v>
      </c>
      <c r="O36" t="e">
        <f>AND(#REF!,"AAAAAHN9/w4=")</f>
        <v>#REF!</v>
      </c>
      <c r="P36" t="e">
        <f>AND(#REF!,"AAAAAHN9/w8=")</f>
        <v>#REF!</v>
      </c>
      <c r="Q36" t="e">
        <f>AND(#REF!,"AAAAAHN9/xA=")</f>
        <v>#REF!</v>
      </c>
      <c r="R36" t="e">
        <f>AND(#REF!,"AAAAAHN9/xE=")</f>
        <v>#REF!</v>
      </c>
      <c r="S36" t="e">
        <f>AND(#REF!,"AAAAAHN9/xI=")</f>
        <v>#REF!</v>
      </c>
      <c r="T36" t="e">
        <f>AND(#REF!,"AAAAAHN9/xM=")</f>
        <v>#REF!</v>
      </c>
      <c r="U36" t="e">
        <f>AND(#REF!,"AAAAAHN9/xQ=")</f>
        <v>#REF!</v>
      </c>
      <c r="V36" t="e">
        <f>AND(#REF!,"AAAAAHN9/xU=")</f>
        <v>#REF!</v>
      </c>
      <c r="W36" t="e">
        <f>AND(#REF!,"AAAAAHN9/xY=")</f>
        <v>#REF!</v>
      </c>
      <c r="X36" t="e">
        <f>AND(#REF!,"AAAAAHN9/xc=")</f>
        <v>#REF!</v>
      </c>
      <c r="Y36" t="e">
        <f>AND(#REF!,"AAAAAHN9/xg=")</f>
        <v>#REF!</v>
      </c>
      <c r="Z36" t="e">
        <f>IF(#REF!,"AAAAAHN9/xk=",0)</f>
        <v>#REF!</v>
      </c>
      <c r="AA36" t="e">
        <f>AND(#REF!,"AAAAAHN9/xo=")</f>
        <v>#REF!</v>
      </c>
      <c r="AB36" t="e">
        <f>AND(#REF!,"AAAAAHN9/xs=")</f>
        <v>#REF!</v>
      </c>
      <c r="AC36" t="e">
        <f>AND(#REF!,"AAAAAHN9/xw=")</f>
        <v>#REF!</v>
      </c>
      <c r="AD36" t="e">
        <f>AND(#REF!,"AAAAAHN9/x0=")</f>
        <v>#REF!</v>
      </c>
      <c r="AE36" t="e">
        <f>AND(#REF!,"AAAAAHN9/x4=")</f>
        <v>#REF!</v>
      </c>
      <c r="AF36" t="e">
        <f>AND(#REF!,"AAAAAHN9/x8=")</f>
        <v>#REF!</v>
      </c>
      <c r="AG36" t="e">
        <f>AND(#REF!,"AAAAAHN9/yA=")</f>
        <v>#REF!</v>
      </c>
      <c r="AH36" t="e">
        <f>AND(#REF!,"AAAAAHN9/yE=")</f>
        <v>#REF!</v>
      </c>
      <c r="AI36" t="e">
        <f>AND(#REF!,"AAAAAHN9/yI=")</f>
        <v>#REF!</v>
      </c>
      <c r="AJ36" t="e">
        <f>AND(#REF!,"AAAAAHN9/yM=")</f>
        <v>#REF!</v>
      </c>
      <c r="AK36" t="e">
        <f>AND(#REF!,"AAAAAHN9/yQ=")</f>
        <v>#REF!</v>
      </c>
      <c r="AL36" t="e">
        <f>AND(#REF!,"AAAAAHN9/yU=")</f>
        <v>#REF!</v>
      </c>
      <c r="AM36" t="e">
        <f>AND(#REF!,"AAAAAHN9/yY=")</f>
        <v>#REF!</v>
      </c>
      <c r="AN36" t="e">
        <f>AND(#REF!,"AAAAAHN9/yc=")</f>
        <v>#REF!</v>
      </c>
      <c r="AO36" t="e">
        <f>AND(#REF!,"AAAAAHN9/yg=")</f>
        <v>#REF!</v>
      </c>
      <c r="AP36" t="e">
        <f>AND(#REF!,"AAAAAHN9/yk=")</f>
        <v>#REF!</v>
      </c>
      <c r="AQ36" t="e">
        <f>AND(#REF!,"AAAAAHN9/yo=")</f>
        <v>#REF!</v>
      </c>
      <c r="AR36" t="e">
        <f>AND(#REF!,"AAAAAHN9/ys=")</f>
        <v>#REF!</v>
      </c>
      <c r="AS36" t="e">
        <f>AND(#REF!,"AAAAAHN9/yw=")</f>
        <v>#REF!</v>
      </c>
      <c r="AT36" t="e">
        <f>AND(#REF!,"AAAAAHN9/y0=")</f>
        <v>#REF!</v>
      </c>
      <c r="AU36" t="e">
        <f>AND(#REF!,"AAAAAHN9/y4=")</f>
        <v>#REF!</v>
      </c>
      <c r="AV36" t="e">
        <f>AND(#REF!,"AAAAAHN9/y8=")</f>
        <v>#REF!</v>
      </c>
      <c r="AW36" t="e">
        <f>AND(#REF!,"AAAAAHN9/zA=")</f>
        <v>#REF!</v>
      </c>
      <c r="AX36" t="e">
        <f>AND(#REF!,"AAAAAHN9/zE=")</f>
        <v>#REF!</v>
      </c>
      <c r="AY36" t="e">
        <f>AND(#REF!,"AAAAAHN9/zI=")</f>
        <v>#REF!</v>
      </c>
      <c r="AZ36" t="e">
        <f>AND(#REF!,"AAAAAHN9/zM=")</f>
        <v>#REF!</v>
      </c>
      <c r="BA36" t="e">
        <f>IF(#REF!,"AAAAAHN9/zQ=",0)</f>
        <v>#REF!</v>
      </c>
      <c r="BB36" t="e">
        <f>AND(#REF!,"AAAAAHN9/zU=")</f>
        <v>#REF!</v>
      </c>
      <c r="BC36" t="e">
        <f>AND(#REF!,"AAAAAHN9/zY=")</f>
        <v>#REF!</v>
      </c>
      <c r="BD36" t="e">
        <f>AND(#REF!,"AAAAAHN9/zc=")</f>
        <v>#REF!</v>
      </c>
      <c r="BE36" t="e">
        <f>AND(#REF!,"AAAAAHN9/zg=")</f>
        <v>#REF!</v>
      </c>
      <c r="BF36" t="e">
        <f>AND(#REF!,"AAAAAHN9/zk=")</f>
        <v>#REF!</v>
      </c>
      <c r="BG36" t="e">
        <f>AND(#REF!,"AAAAAHN9/zo=")</f>
        <v>#REF!</v>
      </c>
      <c r="BH36" t="e">
        <f>AND(#REF!,"AAAAAHN9/zs=")</f>
        <v>#REF!</v>
      </c>
      <c r="BI36" t="e">
        <f>AND(#REF!,"AAAAAHN9/zw=")</f>
        <v>#REF!</v>
      </c>
      <c r="BJ36" t="e">
        <f>AND(#REF!,"AAAAAHN9/z0=")</f>
        <v>#REF!</v>
      </c>
      <c r="BK36" t="e">
        <f>AND(#REF!,"AAAAAHN9/z4=")</f>
        <v>#REF!</v>
      </c>
      <c r="BL36" t="e">
        <f>AND(#REF!,"AAAAAHN9/z8=")</f>
        <v>#REF!</v>
      </c>
      <c r="BM36" t="e">
        <f>AND(#REF!,"AAAAAHN9/0A=")</f>
        <v>#REF!</v>
      </c>
      <c r="BN36" t="e">
        <f>AND(#REF!,"AAAAAHN9/0E=")</f>
        <v>#REF!</v>
      </c>
      <c r="BO36" t="e">
        <f>AND(#REF!,"AAAAAHN9/0I=")</f>
        <v>#REF!</v>
      </c>
      <c r="BP36" t="e">
        <f>AND(#REF!,"AAAAAHN9/0M=")</f>
        <v>#REF!</v>
      </c>
      <c r="BQ36" t="e">
        <f>AND(#REF!,"AAAAAHN9/0Q=")</f>
        <v>#REF!</v>
      </c>
      <c r="BR36" t="e">
        <f>AND(#REF!,"AAAAAHN9/0U=")</f>
        <v>#REF!</v>
      </c>
      <c r="BS36" t="e">
        <f>AND(#REF!,"AAAAAHN9/0Y=")</f>
        <v>#REF!</v>
      </c>
      <c r="BT36" t="e">
        <f>AND(#REF!,"AAAAAHN9/0c=")</f>
        <v>#REF!</v>
      </c>
      <c r="BU36" t="e">
        <f>AND(#REF!,"AAAAAHN9/0g=")</f>
        <v>#REF!</v>
      </c>
      <c r="BV36" t="e">
        <f>AND(#REF!,"AAAAAHN9/0k=")</f>
        <v>#REF!</v>
      </c>
      <c r="BW36" t="e">
        <f>AND(#REF!,"AAAAAHN9/0o=")</f>
        <v>#REF!</v>
      </c>
      <c r="BX36" t="e">
        <f>AND(#REF!,"AAAAAHN9/0s=")</f>
        <v>#REF!</v>
      </c>
      <c r="BY36" t="e">
        <f>AND(#REF!,"AAAAAHN9/0w=")</f>
        <v>#REF!</v>
      </c>
      <c r="BZ36" t="e">
        <f>AND(#REF!,"AAAAAHN9/00=")</f>
        <v>#REF!</v>
      </c>
      <c r="CA36" t="e">
        <f>AND(#REF!,"AAAAAHN9/04=")</f>
        <v>#REF!</v>
      </c>
      <c r="CB36" t="e">
        <f>IF(#REF!,"AAAAAHN9/08=",0)</f>
        <v>#REF!</v>
      </c>
      <c r="CC36" t="e">
        <f>AND(#REF!,"AAAAAHN9/1A=")</f>
        <v>#REF!</v>
      </c>
      <c r="CD36" t="e">
        <f>AND(#REF!,"AAAAAHN9/1E=")</f>
        <v>#REF!</v>
      </c>
      <c r="CE36" t="e">
        <f>AND(#REF!,"AAAAAHN9/1I=")</f>
        <v>#REF!</v>
      </c>
      <c r="CF36" t="e">
        <f>AND(#REF!,"AAAAAHN9/1M=")</f>
        <v>#REF!</v>
      </c>
      <c r="CG36" t="e">
        <f>AND(#REF!,"AAAAAHN9/1Q=")</f>
        <v>#REF!</v>
      </c>
      <c r="CH36" t="e">
        <f>AND(#REF!,"AAAAAHN9/1U=")</f>
        <v>#REF!</v>
      </c>
      <c r="CI36" t="e">
        <f>AND(#REF!,"AAAAAHN9/1Y=")</f>
        <v>#REF!</v>
      </c>
      <c r="CJ36" t="e">
        <f>AND(#REF!,"AAAAAHN9/1c=")</f>
        <v>#REF!</v>
      </c>
      <c r="CK36" t="e">
        <f>AND(#REF!,"AAAAAHN9/1g=")</f>
        <v>#REF!</v>
      </c>
      <c r="CL36" t="e">
        <f>AND(#REF!,"AAAAAHN9/1k=")</f>
        <v>#REF!</v>
      </c>
      <c r="CM36" t="e">
        <f>AND(#REF!,"AAAAAHN9/1o=")</f>
        <v>#REF!</v>
      </c>
      <c r="CN36" t="e">
        <f>AND(#REF!,"AAAAAHN9/1s=")</f>
        <v>#REF!</v>
      </c>
      <c r="CO36" t="e">
        <f>AND(#REF!,"AAAAAHN9/1w=")</f>
        <v>#REF!</v>
      </c>
      <c r="CP36" t="e">
        <f>AND(#REF!,"AAAAAHN9/10=")</f>
        <v>#REF!</v>
      </c>
      <c r="CQ36" t="e">
        <f>AND(#REF!,"AAAAAHN9/14=")</f>
        <v>#REF!</v>
      </c>
      <c r="CR36" t="e">
        <f>AND(#REF!,"AAAAAHN9/18=")</f>
        <v>#REF!</v>
      </c>
      <c r="CS36" t="e">
        <f>AND(#REF!,"AAAAAHN9/2A=")</f>
        <v>#REF!</v>
      </c>
      <c r="CT36" t="e">
        <f>AND(#REF!,"AAAAAHN9/2E=")</f>
        <v>#REF!</v>
      </c>
      <c r="CU36" t="e">
        <f>AND(#REF!,"AAAAAHN9/2I=")</f>
        <v>#REF!</v>
      </c>
      <c r="CV36" t="e">
        <f>AND(#REF!,"AAAAAHN9/2M=")</f>
        <v>#REF!</v>
      </c>
      <c r="CW36" t="e">
        <f>AND(#REF!,"AAAAAHN9/2Q=")</f>
        <v>#REF!</v>
      </c>
      <c r="CX36" t="e">
        <f>AND(#REF!,"AAAAAHN9/2U=")</f>
        <v>#REF!</v>
      </c>
      <c r="CY36" t="e">
        <f>AND(#REF!,"AAAAAHN9/2Y=")</f>
        <v>#REF!</v>
      </c>
      <c r="CZ36" t="e">
        <f>AND(#REF!,"AAAAAHN9/2c=")</f>
        <v>#REF!</v>
      </c>
      <c r="DA36" t="e">
        <f>AND(#REF!,"AAAAAHN9/2g=")</f>
        <v>#REF!</v>
      </c>
      <c r="DB36" t="e">
        <f>AND(#REF!,"AAAAAHN9/2k=")</f>
        <v>#REF!</v>
      </c>
      <c r="DC36" t="e">
        <f>IF(#REF!,"AAAAAHN9/2o=",0)</f>
        <v>#REF!</v>
      </c>
      <c r="DD36" t="e">
        <f>AND(#REF!,"AAAAAHN9/2s=")</f>
        <v>#REF!</v>
      </c>
      <c r="DE36" t="e">
        <f>AND(#REF!,"AAAAAHN9/2w=")</f>
        <v>#REF!</v>
      </c>
      <c r="DF36" t="e">
        <f>AND(#REF!,"AAAAAHN9/20=")</f>
        <v>#REF!</v>
      </c>
      <c r="DG36" t="e">
        <f>AND(#REF!,"AAAAAHN9/24=")</f>
        <v>#REF!</v>
      </c>
      <c r="DH36" t="e">
        <f>AND(#REF!,"AAAAAHN9/28=")</f>
        <v>#REF!</v>
      </c>
      <c r="DI36" t="e">
        <f>AND(#REF!,"AAAAAHN9/3A=")</f>
        <v>#REF!</v>
      </c>
      <c r="DJ36" t="e">
        <f>AND(#REF!,"AAAAAHN9/3E=")</f>
        <v>#REF!</v>
      </c>
      <c r="DK36" t="e">
        <f>AND(#REF!,"AAAAAHN9/3I=")</f>
        <v>#REF!</v>
      </c>
      <c r="DL36" t="e">
        <f>AND(#REF!,"AAAAAHN9/3M=")</f>
        <v>#REF!</v>
      </c>
      <c r="DM36" t="e">
        <f>AND(#REF!,"AAAAAHN9/3Q=")</f>
        <v>#REF!</v>
      </c>
      <c r="DN36" t="e">
        <f>AND(#REF!,"AAAAAHN9/3U=")</f>
        <v>#REF!</v>
      </c>
      <c r="DO36" t="e">
        <f>AND(#REF!,"AAAAAHN9/3Y=")</f>
        <v>#REF!</v>
      </c>
      <c r="DP36" t="e">
        <f>AND(#REF!,"AAAAAHN9/3c=")</f>
        <v>#REF!</v>
      </c>
      <c r="DQ36" t="e">
        <f>AND(#REF!,"AAAAAHN9/3g=")</f>
        <v>#REF!</v>
      </c>
      <c r="DR36" t="e">
        <f>AND(#REF!,"AAAAAHN9/3k=")</f>
        <v>#REF!</v>
      </c>
      <c r="DS36" t="e">
        <f>AND(#REF!,"AAAAAHN9/3o=")</f>
        <v>#REF!</v>
      </c>
      <c r="DT36" t="e">
        <f>AND(#REF!,"AAAAAHN9/3s=")</f>
        <v>#REF!</v>
      </c>
      <c r="DU36" t="e">
        <f>AND(#REF!,"AAAAAHN9/3w=")</f>
        <v>#REF!</v>
      </c>
      <c r="DV36" t="e">
        <f>AND(#REF!,"AAAAAHN9/30=")</f>
        <v>#REF!</v>
      </c>
      <c r="DW36" t="e">
        <f>AND(#REF!,"AAAAAHN9/34=")</f>
        <v>#REF!</v>
      </c>
      <c r="DX36" t="e">
        <f>AND(#REF!,"AAAAAHN9/38=")</f>
        <v>#REF!</v>
      </c>
      <c r="DY36" t="e">
        <f>AND(#REF!,"AAAAAHN9/4A=")</f>
        <v>#REF!</v>
      </c>
      <c r="DZ36" t="e">
        <f>AND(#REF!,"AAAAAHN9/4E=")</f>
        <v>#REF!</v>
      </c>
      <c r="EA36" t="e">
        <f>AND(#REF!,"AAAAAHN9/4I=")</f>
        <v>#REF!</v>
      </c>
      <c r="EB36" t="e">
        <f>AND(#REF!,"AAAAAHN9/4M=")</f>
        <v>#REF!</v>
      </c>
      <c r="EC36" t="e">
        <f>AND(#REF!,"AAAAAHN9/4Q=")</f>
        <v>#REF!</v>
      </c>
      <c r="ED36" t="e">
        <f>IF(#REF!,"AAAAAHN9/4U=",0)</f>
        <v>#REF!</v>
      </c>
      <c r="EE36" t="e">
        <f>AND(#REF!,"AAAAAHN9/4Y=")</f>
        <v>#REF!</v>
      </c>
      <c r="EF36" t="e">
        <f>AND(#REF!,"AAAAAHN9/4c=")</f>
        <v>#REF!</v>
      </c>
      <c r="EG36" t="e">
        <f>AND(#REF!,"AAAAAHN9/4g=")</f>
        <v>#REF!</v>
      </c>
      <c r="EH36" t="e">
        <f>AND(#REF!,"AAAAAHN9/4k=")</f>
        <v>#REF!</v>
      </c>
      <c r="EI36" t="e">
        <f>AND(#REF!,"AAAAAHN9/4o=")</f>
        <v>#REF!</v>
      </c>
      <c r="EJ36" t="e">
        <f>AND(#REF!,"AAAAAHN9/4s=")</f>
        <v>#REF!</v>
      </c>
      <c r="EK36" t="e">
        <f>AND(#REF!,"AAAAAHN9/4w=")</f>
        <v>#REF!</v>
      </c>
      <c r="EL36" t="e">
        <f>AND(#REF!,"AAAAAHN9/40=")</f>
        <v>#REF!</v>
      </c>
      <c r="EM36" t="e">
        <f>AND(#REF!,"AAAAAHN9/44=")</f>
        <v>#REF!</v>
      </c>
      <c r="EN36" t="e">
        <f>AND(#REF!,"AAAAAHN9/48=")</f>
        <v>#REF!</v>
      </c>
      <c r="EO36" t="e">
        <f>AND(#REF!,"AAAAAHN9/5A=")</f>
        <v>#REF!</v>
      </c>
      <c r="EP36" t="e">
        <f>AND(#REF!,"AAAAAHN9/5E=")</f>
        <v>#REF!</v>
      </c>
      <c r="EQ36" t="e">
        <f>AND(#REF!,"AAAAAHN9/5I=")</f>
        <v>#REF!</v>
      </c>
      <c r="ER36" t="e">
        <f>AND(#REF!,"AAAAAHN9/5M=")</f>
        <v>#REF!</v>
      </c>
      <c r="ES36" t="e">
        <f>AND(#REF!,"AAAAAHN9/5Q=")</f>
        <v>#REF!</v>
      </c>
      <c r="ET36" t="e">
        <f>AND(#REF!,"AAAAAHN9/5U=")</f>
        <v>#REF!</v>
      </c>
      <c r="EU36" t="e">
        <f>AND(#REF!,"AAAAAHN9/5Y=")</f>
        <v>#REF!</v>
      </c>
      <c r="EV36" t="e">
        <f>AND(#REF!,"AAAAAHN9/5c=")</f>
        <v>#REF!</v>
      </c>
      <c r="EW36" t="e">
        <f>AND(#REF!,"AAAAAHN9/5g=")</f>
        <v>#REF!</v>
      </c>
      <c r="EX36" t="e">
        <f>AND(#REF!,"AAAAAHN9/5k=")</f>
        <v>#REF!</v>
      </c>
      <c r="EY36" t="e">
        <f>AND(#REF!,"AAAAAHN9/5o=")</f>
        <v>#REF!</v>
      </c>
      <c r="EZ36" t="e">
        <f>AND(#REF!,"AAAAAHN9/5s=")</f>
        <v>#REF!</v>
      </c>
      <c r="FA36" t="e">
        <f>AND(#REF!,"AAAAAHN9/5w=")</f>
        <v>#REF!</v>
      </c>
      <c r="FB36" t="e">
        <f>AND(#REF!,"AAAAAHN9/50=")</f>
        <v>#REF!</v>
      </c>
      <c r="FC36" t="e">
        <f>AND(#REF!,"AAAAAHN9/54=")</f>
        <v>#REF!</v>
      </c>
      <c r="FD36" t="e">
        <f>AND(#REF!,"AAAAAHN9/58=")</f>
        <v>#REF!</v>
      </c>
      <c r="FE36" t="e">
        <f>IF(#REF!,"AAAAAHN9/6A=",0)</f>
        <v>#REF!</v>
      </c>
      <c r="FF36" t="e">
        <f>AND(#REF!,"AAAAAHN9/6E=")</f>
        <v>#REF!</v>
      </c>
      <c r="FG36" t="e">
        <f>AND(#REF!,"AAAAAHN9/6I=")</f>
        <v>#REF!</v>
      </c>
      <c r="FH36" t="e">
        <f>AND(#REF!,"AAAAAHN9/6M=")</f>
        <v>#REF!</v>
      </c>
      <c r="FI36" t="e">
        <f>AND(#REF!,"AAAAAHN9/6Q=")</f>
        <v>#REF!</v>
      </c>
      <c r="FJ36" t="e">
        <f>AND(#REF!,"AAAAAHN9/6U=")</f>
        <v>#REF!</v>
      </c>
      <c r="FK36" t="e">
        <f>AND(#REF!,"AAAAAHN9/6Y=")</f>
        <v>#REF!</v>
      </c>
      <c r="FL36" t="e">
        <f>AND(#REF!,"AAAAAHN9/6c=")</f>
        <v>#REF!</v>
      </c>
      <c r="FM36" t="e">
        <f>AND(#REF!,"AAAAAHN9/6g=")</f>
        <v>#REF!</v>
      </c>
      <c r="FN36" t="e">
        <f>AND(#REF!,"AAAAAHN9/6k=")</f>
        <v>#REF!</v>
      </c>
      <c r="FO36" t="e">
        <f>AND(#REF!,"AAAAAHN9/6o=")</f>
        <v>#REF!</v>
      </c>
      <c r="FP36" t="e">
        <f>AND(#REF!,"AAAAAHN9/6s=")</f>
        <v>#REF!</v>
      </c>
      <c r="FQ36" t="e">
        <f>AND(#REF!,"AAAAAHN9/6w=")</f>
        <v>#REF!</v>
      </c>
      <c r="FR36" t="e">
        <f>AND(#REF!,"AAAAAHN9/60=")</f>
        <v>#REF!</v>
      </c>
      <c r="FS36" t="e">
        <f>AND(#REF!,"AAAAAHN9/64=")</f>
        <v>#REF!</v>
      </c>
      <c r="FT36" t="e">
        <f>AND(#REF!,"AAAAAHN9/68=")</f>
        <v>#REF!</v>
      </c>
      <c r="FU36" t="e">
        <f>AND(#REF!,"AAAAAHN9/7A=")</f>
        <v>#REF!</v>
      </c>
      <c r="FV36" t="e">
        <f>AND(#REF!,"AAAAAHN9/7E=")</f>
        <v>#REF!</v>
      </c>
      <c r="FW36" t="e">
        <f>AND(#REF!,"AAAAAHN9/7I=")</f>
        <v>#REF!</v>
      </c>
      <c r="FX36" t="e">
        <f>AND(#REF!,"AAAAAHN9/7M=")</f>
        <v>#REF!</v>
      </c>
      <c r="FY36" t="e">
        <f>AND(#REF!,"AAAAAHN9/7Q=")</f>
        <v>#REF!</v>
      </c>
      <c r="FZ36" t="e">
        <f>AND(#REF!,"AAAAAHN9/7U=")</f>
        <v>#REF!</v>
      </c>
      <c r="GA36" t="e">
        <f>AND(#REF!,"AAAAAHN9/7Y=")</f>
        <v>#REF!</v>
      </c>
      <c r="GB36" t="e">
        <f>AND(#REF!,"AAAAAHN9/7c=")</f>
        <v>#REF!</v>
      </c>
      <c r="GC36" t="e">
        <f>AND(#REF!,"AAAAAHN9/7g=")</f>
        <v>#REF!</v>
      </c>
      <c r="GD36" t="e">
        <f>AND(#REF!,"AAAAAHN9/7k=")</f>
        <v>#REF!</v>
      </c>
      <c r="GE36" t="e">
        <f>AND(#REF!,"AAAAAHN9/7o=")</f>
        <v>#REF!</v>
      </c>
      <c r="GF36" t="e">
        <f>IF(#REF!,"AAAAAHN9/7s=",0)</f>
        <v>#REF!</v>
      </c>
      <c r="GG36" t="e">
        <f>AND(#REF!,"AAAAAHN9/7w=")</f>
        <v>#REF!</v>
      </c>
      <c r="GH36" t="e">
        <f>AND(#REF!,"AAAAAHN9/70=")</f>
        <v>#REF!</v>
      </c>
      <c r="GI36" t="e">
        <f>AND(#REF!,"AAAAAHN9/74=")</f>
        <v>#REF!</v>
      </c>
      <c r="GJ36" t="e">
        <f>AND(#REF!,"AAAAAHN9/78=")</f>
        <v>#REF!</v>
      </c>
      <c r="GK36" t="e">
        <f>AND(#REF!,"AAAAAHN9/8A=")</f>
        <v>#REF!</v>
      </c>
      <c r="GL36" t="e">
        <f>AND(#REF!,"AAAAAHN9/8E=")</f>
        <v>#REF!</v>
      </c>
      <c r="GM36" t="e">
        <f>AND(#REF!,"AAAAAHN9/8I=")</f>
        <v>#REF!</v>
      </c>
      <c r="GN36" t="e">
        <f>AND(#REF!,"AAAAAHN9/8M=")</f>
        <v>#REF!</v>
      </c>
      <c r="GO36" t="e">
        <f>AND(#REF!,"AAAAAHN9/8Q=")</f>
        <v>#REF!</v>
      </c>
      <c r="GP36" t="e">
        <f>AND(#REF!,"AAAAAHN9/8U=")</f>
        <v>#REF!</v>
      </c>
      <c r="GQ36" t="e">
        <f>AND(#REF!,"AAAAAHN9/8Y=")</f>
        <v>#REF!</v>
      </c>
      <c r="GR36" t="e">
        <f>AND(#REF!,"AAAAAHN9/8c=")</f>
        <v>#REF!</v>
      </c>
      <c r="GS36" t="e">
        <f>AND(#REF!,"AAAAAHN9/8g=")</f>
        <v>#REF!</v>
      </c>
      <c r="GT36" t="e">
        <f>AND(#REF!,"AAAAAHN9/8k=")</f>
        <v>#REF!</v>
      </c>
      <c r="GU36" t="e">
        <f>AND(#REF!,"AAAAAHN9/8o=")</f>
        <v>#REF!</v>
      </c>
      <c r="GV36" t="e">
        <f>AND(#REF!,"AAAAAHN9/8s=")</f>
        <v>#REF!</v>
      </c>
      <c r="GW36" t="e">
        <f>AND(#REF!,"AAAAAHN9/8w=")</f>
        <v>#REF!</v>
      </c>
      <c r="GX36" t="e">
        <f>AND(#REF!,"AAAAAHN9/80=")</f>
        <v>#REF!</v>
      </c>
      <c r="GY36" t="e">
        <f>AND(#REF!,"AAAAAHN9/84=")</f>
        <v>#REF!</v>
      </c>
      <c r="GZ36" t="e">
        <f>AND(#REF!,"AAAAAHN9/88=")</f>
        <v>#REF!</v>
      </c>
      <c r="HA36" t="e">
        <f>AND(#REF!,"AAAAAHN9/9A=")</f>
        <v>#REF!</v>
      </c>
      <c r="HB36" t="e">
        <f>AND(#REF!,"AAAAAHN9/9E=")</f>
        <v>#REF!</v>
      </c>
      <c r="HC36" t="e">
        <f>AND(#REF!,"AAAAAHN9/9I=")</f>
        <v>#REF!</v>
      </c>
      <c r="HD36" t="e">
        <f>AND(#REF!,"AAAAAHN9/9M=")</f>
        <v>#REF!</v>
      </c>
      <c r="HE36" t="e">
        <f>AND(#REF!,"AAAAAHN9/9Q=")</f>
        <v>#REF!</v>
      </c>
      <c r="HF36" t="e">
        <f>AND(#REF!,"AAAAAHN9/9U=")</f>
        <v>#REF!</v>
      </c>
      <c r="HG36" t="e">
        <f>IF(#REF!,"AAAAAHN9/9Y=",0)</f>
        <v>#REF!</v>
      </c>
      <c r="HH36" t="e">
        <f>AND(#REF!,"AAAAAHN9/9c=")</f>
        <v>#REF!</v>
      </c>
      <c r="HI36" t="e">
        <f>AND(#REF!,"AAAAAHN9/9g=")</f>
        <v>#REF!</v>
      </c>
      <c r="HJ36" t="e">
        <f>AND(#REF!,"AAAAAHN9/9k=")</f>
        <v>#REF!</v>
      </c>
      <c r="HK36" t="e">
        <f>AND(#REF!,"AAAAAHN9/9o=")</f>
        <v>#REF!</v>
      </c>
      <c r="HL36" t="e">
        <f>AND(#REF!,"AAAAAHN9/9s=")</f>
        <v>#REF!</v>
      </c>
      <c r="HM36" t="e">
        <f>AND(#REF!,"AAAAAHN9/9w=")</f>
        <v>#REF!</v>
      </c>
      <c r="HN36" t="e">
        <f>AND(#REF!,"AAAAAHN9/90=")</f>
        <v>#REF!</v>
      </c>
      <c r="HO36" t="e">
        <f>AND(#REF!,"AAAAAHN9/94=")</f>
        <v>#REF!</v>
      </c>
      <c r="HP36" t="e">
        <f>AND(#REF!,"AAAAAHN9/98=")</f>
        <v>#REF!</v>
      </c>
      <c r="HQ36" t="e">
        <f>AND(#REF!,"AAAAAHN9/+A=")</f>
        <v>#REF!</v>
      </c>
      <c r="HR36" t="e">
        <f>AND(#REF!,"AAAAAHN9/+E=")</f>
        <v>#REF!</v>
      </c>
      <c r="HS36" t="e">
        <f>AND(#REF!,"AAAAAHN9/+I=")</f>
        <v>#REF!</v>
      </c>
      <c r="HT36" t="e">
        <f>AND(#REF!,"AAAAAHN9/+M=")</f>
        <v>#REF!</v>
      </c>
      <c r="HU36" t="e">
        <f>AND(#REF!,"AAAAAHN9/+Q=")</f>
        <v>#REF!</v>
      </c>
      <c r="HV36" t="e">
        <f>AND(#REF!,"AAAAAHN9/+U=")</f>
        <v>#REF!</v>
      </c>
      <c r="HW36" t="e">
        <f>AND(#REF!,"AAAAAHN9/+Y=")</f>
        <v>#REF!</v>
      </c>
      <c r="HX36" t="e">
        <f>AND(#REF!,"AAAAAHN9/+c=")</f>
        <v>#REF!</v>
      </c>
      <c r="HY36" t="e">
        <f>AND(#REF!,"AAAAAHN9/+g=")</f>
        <v>#REF!</v>
      </c>
      <c r="HZ36" t="e">
        <f>AND(#REF!,"AAAAAHN9/+k=")</f>
        <v>#REF!</v>
      </c>
      <c r="IA36" t="e">
        <f>AND(#REF!,"AAAAAHN9/+o=")</f>
        <v>#REF!</v>
      </c>
      <c r="IB36" t="e">
        <f>AND(#REF!,"AAAAAHN9/+s=")</f>
        <v>#REF!</v>
      </c>
      <c r="IC36" t="e">
        <f>AND(#REF!,"AAAAAHN9/+w=")</f>
        <v>#REF!</v>
      </c>
      <c r="ID36" t="e">
        <f>AND(#REF!,"AAAAAHN9/+0=")</f>
        <v>#REF!</v>
      </c>
      <c r="IE36" t="e">
        <f>AND(#REF!,"AAAAAHN9/+4=")</f>
        <v>#REF!</v>
      </c>
      <c r="IF36" t="e">
        <f>AND(#REF!,"AAAAAHN9/+8=")</f>
        <v>#REF!</v>
      </c>
      <c r="IG36" t="e">
        <f>AND(#REF!,"AAAAAHN9//A=")</f>
        <v>#REF!</v>
      </c>
      <c r="IH36" t="e">
        <f>IF(#REF!,"AAAAAHN9//E=",0)</f>
        <v>#REF!</v>
      </c>
      <c r="II36" t="e">
        <f>AND(#REF!,"AAAAAHN9//I=")</f>
        <v>#REF!</v>
      </c>
      <c r="IJ36" t="e">
        <f>AND(#REF!,"AAAAAHN9//M=")</f>
        <v>#REF!</v>
      </c>
      <c r="IK36" t="e">
        <f>AND(#REF!,"AAAAAHN9//Q=")</f>
        <v>#REF!</v>
      </c>
      <c r="IL36" t="e">
        <f>AND(#REF!,"AAAAAHN9//U=")</f>
        <v>#REF!</v>
      </c>
      <c r="IM36" t="e">
        <f>AND(#REF!,"AAAAAHN9//Y=")</f>
        <v>#REF!</v>
      </c>
      <c r="IN36" t="e">
        <f>AND(#REF!,"AAAAAHN9//c=")</f>
        <v>#REF!</v>
      </c>
      <c r="IO36" t="e">
        <f>AND(#REF!,"AAAAAHN9//g=")</f>
        <v>#REF!</v>
      </c>
      <c r="IP36" t="e">
        <f>AND(#REF!,"AAAAAHN9//k=")</f>
        <v>#REF!</v>
      </c>
      <c r="IQ36" t="e">
        <f>AND(#REF!,"AAAAAHN9//o=")</f>
        <v>#REF!</v>
      </c>
      <c r="IR36" t="e">
        <f>AND(#REF!,"AAAAAHN9//s=")</f>
        <v>#REF!</v>
      </c>
      <c r="IS36" t="e">
        <f>AND(#REF!,"AAAAAHN9//w=")</f>
        <v>#REF!</v>
      </c>
      <c r="IT36" t="e">
        <f>AND(#REF!,"AAAAAHN9//0=")</f>
        <v>#REF!</v>
      </c>
      <c r="IU36" t="e">
        <f>AND(#REF!,"AAAAAHN9//4=")</f>
        <v>#REF!</v>
      </c>
      <c r="IV36" t="e">
        <f>AND(#REF!,"AAAAAHN9//8=")</f>
        <v>#REF!</v>
      </c>
    </row>
    <row r="37" spans="1:256" x14ac:dyDescent="0.2">
      <c r="A37" t="e">
        <f>AND(#REF!,"AAAAAE9n8wA=")</f>
        <v>#REF!</v>
      </c>
      <c r="B37" t="e">
        <f>AND(#REF!,"AAAAAE9n8wE=")</f>
        <v>#REF!</v>
      </c>
      <c r="C37" t="e">
        <f>AND(#REF!,"AAAAAE9n8wI=")</f>
        <v>#REF!</v>
      </c>
      <c r="D37" t="e">
        <f>AND(#REF!,"AAAAAE9n8wM=")</f>
        <v>#REF!</v>
      </c>
      <c r="E37" t="e">
        <f>AND(#REF!,"AAAAAE9n8wQ=")</f>
        <v>#REF!</v>
      </c>
      <c r="F37" t="e">
        <f>AND(#REF!,"AAAAAE9n8wU=")</f>
        <v>#REF!</v>
      </c>
      <c r="G37" t="e">
        <f>AND(#REF!,"AAAAAE9n8wY=")</f>
        <v>#REF!</v>
      </c>
      <c r="H37" t="e">
        <f>AND(#REF!,"AAAAAE9n8wc=")</f>
        <v>#REF!</v>
      </c>
      <c r="I37" t="e">
        <f>AND(#REF!,"AAAAAE9n8wg=")</f>
        <v>#REF!</v>
      </c>
      <c r="J37" t="e">
        <f>AND(#REF!,"AAAAAE9n8wk=")</f>
        <v>#REF!</v>
      </c>
      <c r="K37" t="e">
        <f>AND(#REF!,"AAAAAE9n8wo=")</f>
        <v>#REF!</v>
      </c>
      <c r="L37" t="e">
        <f>AND(#REF!,"AAAAAE9n8ws=")</f>
        <v>#REF!</v>
      </c>
      <c r="M37" t="e">
        <f>IF(#REF!,"AAAAAE9n8ww=",0)</f>
        <v>#REF!</v>
      </c>
      <c r="N37" t="e">
        <f>AND(#REF!,"AAAAAE9n8w0=")</f>
        <v>#REF!</v>
      </c>
      <c r="O37" t="e">
        <f>AND(#REF!,"AAAAAE9n8w4=")</f>
        <v>#REF!</v>
      </c>
      <c r="P37" t="e">
        <f>AND(#REF!,"AAAAAE9n8w8=")</f>
        <v>#REF!</v>
      </c>
      <c r="Q37" t="e">
        <f>AND(#REF!,"AAAAAE9n8xA=")</f>
        <v>#REF!</v>
      </c>
      <c r="R37" t="e">
        <f>AND(#REF!,"AAAAAE9n8xE=")</f>
        <v>#REF!</v>
      </c>
      <c r="S37" t="e">
        <f>AND(#REF!,"AAAAAE9n8xI=")</f>
        <v>#REF!</v>
      </c>
      <c r="T37" t="e">
        <f>AND(#REF!,"AAAAAE9n8xM=")</f>
        <v>#REF!</v>
      </c>
      <c r="U37" t="e">
        <f>AND(#REF!,"AAAAAE9n8xQ=")</f>
        <v>#REF!</v>
      </c>
      <c r="V37" t="e">
        <f>AND(#REF!,"AAAAAE9n8xU=")</f>
        <v>#REF!</v>
      </c>
      <c r="W37" t="e">
        <f>AND(#REF!,"AAAAAE9n8xY=")</f>
        <v>#REF!</v>
      </c>
      <c r="X37" t="e">
        <f>AND(#REF!,"AAAAAE9n8xc=")</f>
        <v>#REF!</v>
      </c>
      <c r="Y37" t="e">
        <f>AND(#REF!,"AAAAAE9n8xg=")</f>
        <v>#REF!</v>
      </c>
      <c r="Z37" t="e">
        <f>AND(#REF!,"AAAAAE9n8xk=")</f>
        <v>#REF!</v>
      </c>
      <c r="AA37" t="e">
        <f>AND(#REF!,"AAAAAE9n8xo=")</f>
        <v>#REF!</v>
      </c>
      <c r="AB37" t="e">
        <f>AND(#REF!,"AAAAAE9n8xs=")</f>
        <v>#REF!</v>
      </c>
      <c r="AC37" t="e">
        <f>AND(#REF!,"AAAAAE9n8xw=")</f>
        <v>#REF!</v>
      </c>
      <c r="AD37" t="e">
        <f>AND(#REF!,"AAAAAE9n8x0=")</f>
        <v>#REF!</v>
      </c>
      <c r="AE37" t="e">
        <f>AND(#REF!,"AAAAAE9n8x4=")</f>
        <v>#REF!</v>
      </c>
      <c r="AF37" t="e">
        <f>AND(#REF!,"AAAAAE9n8x8=")</f>
        <v>#REF!</v>
      </c>
      <c r="AG37" t="e">
        <f>AND(#REF!,"AAAAAE9n8yA=")</f>
        <v>#REF!</v>
      </c>
      <c r="AH37" t="e">
        <f>AND(#REF!,"AAAAAE9n8yE=")</f>
        <v>#REF!</v>
      </c>
      <c r="AI37" t="e">
        <f>AND(#REF!,"AAAAAE9n8yI=")</f>
        <v>#REF!</v>
      </c>
      <c r="AJ37" t="e">
        <f>AND(#REF!,"AAAAAE9n8yM=")</f>
        <v>#REF!</v>
      </c>
      <c r="AK37" t="e">
        <f>AND(#REF!,"AAAAAE9n8yQ=")</f>
        <v>#REF!</v>
      </c>
      <c r="AL37" t="e">
        <f>AND(#REF!,"AAAAAE9n8yU=")</f>
        <v>#REF!</v>
      </c>
      <c r="AM37" t="e">
        <f>AND(#REF!,"AAAAAE9n8yY=")</f>
        <v>#REF!</v>
      </c>
      <c r="AN37" t="e">
        <f>IF(#REF!,"AAAAAE9n8yc=",0)</f>
        <v>#REF!</v>
      </c>
      <c r="AO37" t="e">
        <f>AND(#REF!,"AAAAAE9n8yg=")</f>
        <v>#REF!</v>
      </c>
      <c r="AP37" t="e">
        <f>AND(#REF!,"AAAAAE9n8yk=")</f>
        <v>#REF!</v>
      </c>
      <c r="AQ37" t="e">
        <f>AND(#REF!,"AAAAAE9n8yo=")</f>
        <v>#REF!</v>
      </c>
      <c r="AR37" t="e">
        <f>AND(#REF!,"AAAAAE9n8ys=")</f>
        <v>#REF!</v>
      </c>
      <c r="AS37" t="e">
        <f>AND(#REF!,"AAAAAE9n8yw=")</f>
        <v>#REF!</v>
      </c>
      <c r="AT37" t="e">
        <f>AND(#REF!,"AAAAAE9n8y0=")</f>
        <v>#REF!</v>
      </c>
      <c r="AU37" t="e">
        <f>AND(#REF!,"AAAAAE9n8y4=")</f>
        <v>#REF!</v>
      </c>
      <c r="AV37" t="e">
        <f>AND(#REF!,"AAAAAE9n8y8=")</f>
        <v>#REF!</v>
      </c>
      <c r="AW37" t="e">
        <f>AND(#REF!,"AAAAAE9n8zA=")</f>
        <v>#REF!</v>
      </c>
      <c r="AX37" t="e">
        <f>AND(#REF!,"AAAAAE9n8zE=")</f>
        <v>#REF!</v>
      </c>
      <c r="AY37" t="e">
        <f>AND(#REF!,"AAAAAE9n8zI=")</f>
        <v>#REF!</v>
      </c>
      <c r="AZ37" t="e">
        <f>AND(#REF!,"AAAAAE9n8zM=")</f>
        <v>#REF!</v>
      </c>
      <c r="BA37" t="e">
        <f>AND(#REF!,"AAAAAE9n8zQ=")</f>
        <v>#REF!</v>
      </c>
      <c r="BB37" t="e">
        <f>AND(#REF!,"AAAAAE9n8zU=")</f>
        <v>#REF!</v>
      </c>
      <c r="BC37" t="e">
        <f>AND(#REF!,"AAAAAE9n8zY=")</f>
        <v>#REF!</v>
      </c>
      <c r="BD37" t="e">
        <f>AND(#REF!,"AAAAAE9n8zc=")</f>
        <v>#REF!</v>
      </c>
      <c r="BE37" t="e">
        <f>AND(#REF!,"AAAAAE9n8zg=")</f>
        <v>#REF!</v>
      </c>
      <c r="BF37" t="e">
        <f>AND(#REF!,"AAAAAE9n8zk=")</f>
        <v>#REF!</v>
      </c>
      <c r="BG37" t="e">
        <f>AND(#REF!,"AAAAAE9n8zo=")</f>
        <v>#REF!</v>
      </c>
      <c r="BH37" t="e">
        <f>AND(#REF!,"AAAAAE9n8zs=")</f>
        <v>#REF!</v>
      </c>
      <c r="BI37" t="e">
        <f>AND(#REF!,"AAAAAE9n8zw=")</f>
        <v>#REF!</v>
      </c>
      <c r="BJ37" t="e">
        <f>AND(#REF!,"AAAAAE9n8z0=")</f>
        <v>#REF!</v>
      </c>
      <c r="BK37" t="e">
        <f>AND(#REF!,"AAAAAE9n8z4=")</f>
        <v>#REF!</v>
      </c>
      <c r="BL37" t="e">
        <f>AND(#REF!,"AAAAAE9n8z8=")</f>
        <v>#REF!</v>
      </c>
      <c r="BM37" t="e">
        <f>AND(#REF!,"AAAAAE9n80A=")</f>
        <v>#REF!</v>
      </c>
      <c r="BN37" t="e">
        <f>AND(#REF!,"AAAAAE9n80E=")</f>
        <v>#REF!</v>
      </c>
      <c r="BO37" t="e">
        <f>IF(#REF!,"AAAAAE9n80I=",0)</f>
        <v>#REF!</v>
      </c>
      <c r="BP37" t="e">
        <f>AND(#REF!,"AAAAAE9n80M=")</f>
        <v>#REF!</v>
      </c>
      <c r="BQ37" t="e">
        <f>AND(#REF!,"AAAAAE9n80Q=")</f>
        <v>#REF!</v>
      </c>
      <c r="BR37" t="e">
        <f>AND(#REF!,"AAAAAE9n80U=")</f>
        <v>#REF!</v>
      </c>
      <c r="BS37" t="e">
        <f>AND(#REF!,"AAAAAE9n80Y=")</f>
        <v>#REF!</v>
      </c>
      <c r="BT37" t="e">
        <f>AND(#REF!,"AAAAAE9n80c=")</f>
        <v>#REF!</v>
      </c>
      <c r="BU37" t="e">
        <f>AND(#REF!,"AAAAAE9n80g=")</f>
        <v>#REF!</v>
      </c>
      <c r="BV37" t="e">
        <f>AND(#REF!,"AAAAAE9n80k=")</f>
        <v>#REF!</v>
      </c>
      <c r="BW37" t="e">
        <f>AND(#REF!,"AAAAAE9n80o=")</f>
        <v>#REF!</v>
      </c>
      <c r="BX37" t="e">
        <f>AND(#REF!,"AAAAAE9n80s=")</f>
        <v>#REF!</v>
      </c>
      <c r="BY37" t="e">
        <f>AND(#REF!,"AAAAAE9n80w=")</f>
        <v>#REF!</v>
      </c>
      <c r="BZ37" t="e">
        <f>AND(#REF!,"AAAAAE9n800=")</f>
        <v>#REF!</v>
      </c>
      <c r="CA37" t="e">
        <f>AND(#REF!,"AAAAAE9n804=")</f>
        <v>#REF!</v>
      </c>
      <c r="CB37" t="e">
        <f>AND(#REF!,"AAAAAE9n808=")</f>
        <v>#REF!</v>
      </c>
      <c r="CC37" t="e">
        <f>AND(#REF!,"AAAAAE9n81A=")</f>
        <v>#REF!</v>
      </c>
      <c r="CD37" t="e">
        <f>AND(#REF!,"AAAAAE9n81E=")</f>
        <v>#REF!</v>
      </c>
      <c r="CE37" t="e">
        <f>AND(#REF!,"AAAAAE9n81I=")</f>
        <v>#REF!</v>
      </c>
      <c r="CF37" t="e">
        <f>AND(#REF!,"AAAAAE9n81M=")</f>
        <v>#REF!</v>
      </c>
      <c r="CG37" t="e">
        <f>AND(#REF!,"AAAAAE9n81Q=")</f>
        <v>#REF!</v>
      </c>
      <c r="CH37" t="e">
        <f>AND(#REF!,"AAAAAE9n81U=")</f>
        <v>#REF!</v>
      </c>
      <c r="CI37" t="e">
        <f>AND(#REF!,"AAAAAE9n81Y=")</f>
        <v>#REF!</v>
      </c>
      <c r="CJ37" t="e">
        <f>AND(#REF!,"AAAAAE9n81c=")</f>
        <v>#REF!</v>
      </c>
      <c r="CK37" t="e">
        <f>AND(#REF!,"AAAAAE9n81g=")</f>
        <v>#REF!</v>
      </c>
      <c r="CL37" t="e">
        <f>AND(#REF!,"AAAAAE9n81k=")</f>
        <v>#REF!</v>
      </c>
      <c r="CM37" t="e">
        <f>AND(#REF!,"AAAAAE9n81o=")</f>
        <v>#REF!</v>
      </c>
      <c r="CN37" t="e">
        <f>AND(#REF!,"AAAAAE9n81s=")</f>
        <v>#REF!</v>
      </c>
      <c r="CO37" t="e">
        <f>AND(#REF!,"AAAAAE9n81w=")</f>
        <v>#REF!</v>
      </c>
      <c r="CP37" t="e">
        <f>IF(#REF!,"AAAAAE9n810=",0)</f>
        <v>#REF!</v>
      </c>
      <c r="CQ37" t="e">
        <f>AND(#REF!,"AAAAAE9n814=")</f>
        <v>#REF!</v>
      </c>
      <c r="CR37" t="e">
        <f>AND(#REF!,"AAAAAE9n818=")</f>
        <v>#REF!</v>
      </c>
      <c r="CS37" t="e">
        <f>AND(#REF!,"AAAAAE9n82A=")</f>
        <v>#REF!</v>
      </c>
      <c r="CT37" t="e">
        <f>AND(#REF!,"AAAAAE9n82E=")</f>
        <v>#REF!</v>
      </c>
      <c r="CU37" t="e">
        <f>AND(#REF!,"AAAAAE9n82I=")</f>
        <v>#REF!</v>
      </c>
      <c r="CV37" t="e">
        <f>AND(#REF!,"AAAAAE9n82M=")</f>
        <v>#REF!</v>
      </c>
      <c r="CW37" t="e">
        <f>AND(#REF!,"AAAAAE9n82Q=")</f>
        <v>#REF!</v>
      </c>
      <c r="CX37" t="e">
        <f>AND(#REF!,"AAAAAE9n82U=")</f>
        <v>#REF!</v>
      </c>
      <c r="CY37" t="e">
        <f>AND(#REF!,"AAAAAE9n82Y=")</f>
        <v>#REF!</v>
      </c>
      <c r="CZ37" t="e">
        <f>AND(#REF!,"AAAAAE9n82c=")</f>
        <v>#REF!</v>
      </c>
      <c r="DA37" t="e">
        <f>AND(#REF!,"AAAAAE9n82g=")</f>
        <v>#REF!</v>
      </c>
      <c r="DB37" t="e">
        <f>AND(#REF!,"AAAAAE9n82k=")</f>
        <v>#REF!</v>
      </c>
      <c r="DC37" t="e">
        <f>AND(#REF!,"AAAAAE9n82o=")</f>
        <v>#REF!</v>
      </c>
      <c r="DD37" t="e">
        <f>AND(#REF!,"AAAAAE9n82s=")</f>
        <v>#REF!</v>
      </c>
      <c r="DE37" t="e">
        <f>AND(#REF!,"AAAAAE9n82w=")</f>
        <v>#REF!</v>
      </c>
      <c r="DF37" t="e">
        <f>AND(#REF!,"AAAAAE9n820=")</f>
        <v>#REF!</v>
      </c>
      <c r="DG37" t="e">
        <f>AND(#REF!,"AAAAAE9n824=")</f>
        <v>#REF!</v>
      </c>
      <c r="DH37" t="e">
        <f>AND(#REF!,"AAAAAE9n828=")</f>
        <v>#REF!</v>
      </c>
      <c r="DI37" t="e">
        <f>AND(#REF!,"AAAAAE9n83A=")</f>
        <v>#REF!</v>
      </c>
      <c r="DJ37" t="e">
        <f>AND(#REF!,"AAAAAE9n83E=")</f>
        <v>#REF!</v>
      </c>
      <c r="DK37" t="e">
        <f>AND(#REF!,"AAAAAE9n83I=")</f>
        <v>#REF!</v>
      </c>
      <c r="DL37" t="e">
        <f>AND(#REF!,"AAAAAE9n83M=")</f>
        <v>#REF!</v>
      </c>
      <c r="DM37" t="e">
        <f>AND(#REF!,"AAAAAE9n83Q=")</f>
        <v>#REF!</v>
      </c>
      <c r="DN37" t="e">
        <f>AND(#REF!,"AAAAAE9n83U=")</f>
        <v>#REF!</v>
      </c>
      <c r="DO37" t="e">
        <f>AND(#REF!,"AAAAAE9n83Y=")</f>
        <v>#REF!</v>
      </c>
      <c r="DP37" t="e">
        <f>AND(#REF!,"AAAAAE9n83c=")</f>
        <v>#REF!</v>
      </c>
      <c r="DQ37" t="e">
        <f>IF(#REF!,"AAAAAE9n83g=",0)</f>
        <v>#REF!</v>
      </c>
      <c r="DR37" t="e">
        <f>AND(#REF!,"AAAAAE9n83k=")</f>
        <v>#REF!</v>
      </c>
      <c r="DS37" t="e">
        <f>AND(#REF!,"AAAAAE9n83o=")</f>
        <v>#REF!</v>
      </c>
      <c r="DT37" t="e">
        <f>AND(#REF!,"AAAAAE9n83s=")</f>
        <v>#REF!</v>
      </c>
      <c r="DU37" t="e">
        <f>AND(#REF!,"AAAAAE9n83w=")</f>
        <v>#REF!</v>
      </c>
      <c r="DV37" t="e">
        <f>AND(#REF!,"AAAAAE9n830=")</f>
        <v>#REF!</v>
      </c>
      <c r="DW37" t="e">
        <f>AND(#REF!,"AAAAAE9n834=")</f>
        <v>#REF!</v>
      </c>
      <c r="DX37" t="e">
        <f>AND(#REF!,"AAAAAE9n838=")</f>
        <v>#REF!</v>
      </c>
      <c r="DY37" t="e">
        <f>AND(#REF!,"AAAAAE9n84A=")</f>
        <v>#REF!</v>
      </c>
      <c r="DZ37" t="e">
        <f>AND(#REF!,"AAAAAE9n84E=")</f>
        <v>#REF!</v>
      </c>
      <c r="EA37" t="e">
        <f>AND(#REF!,"AAAAAE9n84I=")</f>
        <v>#REF!</v>
      </c>
      <c r="EB37" t="e">
        <f>AND(#REF!,"AAAAAE9n84M=")</f>
        <v>#REF!</v>
      </c>
      <c r="EC37" t="e">
        <f>AND(#REF!,"AAAAAE9n84Q=")</f>
        <v>#REF!</v>
      </c>
      <c r="ED37" t="e">
        <f>AND(#REF!,"AAAAAE9n84U=")</f>
        <v>#REF!</v>
      </c>
      <c r="EE37" t="e">
        <f>AND(#REF!,"AAAAAE9n84Y=")</f>
        <v>#REF!</v>
      </c>
      <c r="EF37" t="e">
        <f>AND(#REF!,"AAAAAE9n84c=")</f>
        <v>#REF!</v>
      </c>
      <c r="EG37" t="e">
        <f>AND(#REF!,"AAAAAE9n84g=")</f>
        <v>#REF!</v>
      </c>
      <c r="EH37" t="e">
        <f>AND(#REF!,"AAAAAE9n84k=")</f>
        <v>#REF!</v>
      </c>
      <c r="EI37" t="e">
        <f>AND(#REF!,"AAAAAE9n84o=")</f>
        <v>#REF!</v>
      </c>
      <c r="EJ37" t="e">
        <f>AND(#REF!,"AAAAAE9n84s=")</f>
        <v>#REF!</v>
      </c>
      <c r="EK37" t="e">
        <f>AND(#REF!,"AAAAAE9n84w=")</f>
        <v>#REF!</v>
      </c>
      <c r="EL37" t="e">
        <f>AND(#REF!,"AAAAAE9n840=")</f>
        <v>#REF!</v>
      </c>
      <c r="EM37" t="e">
        <f>AND(#REF!,"AAAAAE9n844=")</f>
        <v>#REF!</v>
      </c>
      <c r="EN37" t="e">
        <f>AND(#REF!,"AAAAAE9n848=")</f>
        <v>#REF!</v>
      </c>
      <c r="EO37" t="e">
        <f>AND(#REF!,"AAAAAE9n85A=")</f>
        <v>#REF!</v>
      </c>
      <c r="EP37" t="e">
        <f>AND(#REF!,"AAAAAE9n85E=")</f>
        <v>#REF!</v>
      </c>
      <c r="EQ37" t="e">
        <f>AND(#REF!,"AAAAAE9n85I=")</f>
        <v>#REF!</v>
      </c>
      <c r="ER37" t="e">
        <f>IF(#REF!,"AAAAAE9n85M=",0)</f>
        <v>#REF!</v>
      </c>
      <c r="ES37" t="e">
        <f>AND(#REF!,"AAAAAE9n85Q=")</f>
        <v>#REF!</v>
      </c>
      <c r="ET37" t="e">
        <f>AND(#REF!,"AAAAAE9n85U=")</f>
        <v>#REF!</v>
      </c>
      <c r="EU37" t="e">
        <f>AND(#REF!,"AAAAAE9n85Y=")</f>
        <v>#REF!</v>
      </c>
      <c r="EV37" t="e">
        <f>AND(#REF!,"AAAAAE9n85c=")</f>
        <v>#REF!</v>
      </c>
      <c r="EW37" t="e">
        <f>AND(#REF!,"AAAAAE9n85g=")</f>
        <v>#REF!</v>
      </c>
      <c r="EX37" t="e">
        <f>AND(#REF!,"AAAAAE9n85k=")</f>
        <v>#REF!</v>
      </c>
      <c r="EY37" t="e">
        <f>AND(#REF!,"AAAAAE9n85o=")</f>
        <v>#REF!</v>
      </c>
      <c r="EZ37" t="e">
        <f>AND(#REF!,"AAAAAE9n85s=")</f>
        <v>#REF!</v>
      </c>
      <c r="FA37" t="e">
        <f>AND(#REF!,"AAAAAE9n85w=")</f>
        <v>#REF!</v>
      </c>
      <c r="FB37" t="e">
        <f>AND(#REF!,"AAAAAE9n850=")</f>
        <v>#REF!</v>
      </c>
      <c r="FC37" t="e">
        <f>AND(#REF!,"AAAAAE9n854=")</f>
        <v>#REF!</v>
      </c>
      <c r="FD37" t="e">
        <f>AND(#REF!,"AAAAAE9n858=")</f>
        <v>#REF!</v>
      </c>
      <c r="FE37" t="e">
        <f>AND(#REF!,"AAAAAE9n86A=")</f>
        <v>#REF!</v>
      </c>
      <c r="FF37" t="e">
        <f>AND(#REF!,"AAAAAE9n86E=")</f>
        <v>#REF!</v>
      </c>
      <c r="FG37" t="e">
        <f>AND(#REF!,"AAAAAE9n86I=")</f>
        <v>#REF!</v>
      </c>
      <c r="FH37" t="e">
        <f>AND(#REF!,"AAAAAE9n86M=")</f>
        <v>#REF!</v>
      </c>
      <c r="FI37" t="e">
        <f>AND(#REF!,"AAAAAE9n86Q=")</f>
        <v>#REF!</v>
      </c>
      <c r="FJ37" t="e">
        <f>AND(#REF!,"AAAAAE9n86U=")</f>
        <v>#REF!</v>
      </c>
      <c r="FK37" t="e">
        <f>AND(#REF!,"AAAAAE9n86Y=")</f>
        <v>#REF!</v>
      </c>
      <c r="FL37" t="e">
        <f>AND(#REF!,"AAAAAE9n86c=")</f>
        <v>#REF!</v>
      </c>
      <c r="FM37" t="e">
        <f>AND(#REF!,"AAAAAE9n86g=")</f>
        <v>#REF!</v>
      </c>
      <c r="FN37" t="e">
        <f>AND(#REF!,"AAAAAE9n86k=")</f>
        <v>#REF!</v>
      </c>
      <c r="FO37" t="e">
        <f>AND(#REF!,"AAAAAE9n86o=")</f>
        <v>#REF!</v>
      </c>
      <c r="FP37" t="e">
        <f>AND(#REF!,"AAAAAE9n86s=")</f>
        <v>#REF!</v>
      </c>
      <c r="FQ37" t="e">
        <f>AND(#REF!,"AAAAAE9n86w=")</f>
        <v>#REF!</v>
      </c>
      <c r="FR37" t="e">
        <f>AND(#REF!,"AAAAAE9n860=")</f>
        <v>#REF!</v>
      </c>
      <c r="FS37" t="e">
        <f>IF(#REF!,"AAAAAE9n864=",0)</f>
        <v>#REF!</v>
      </c>
      <c r="FT37" t="e">
        <f>AND(#REF!,"AAAAAE9n868=")</f>
        <v>#REF!</v>
      </c>
      <c r="FU37" t="e">
        <f>AND(#REF!,"AAAAAE9n87A=")</f>
        <v>#REF!</v>
      </c>
      <c r="FV37" t="e">
        <f>AND(#REF!,"AAAAAE9n87E=")</f>
        <v>#REF!</v>
      </c>
      <c r="FW37" t="e">
        <f>AND(#REF!,"AAAAAE9n87I=")</f>
        <v>#REF!</v>
      </c>
      <c r="FX37" t="e">
        <f>AND(#REF!,"AAAAAE9n87M=")</f>
        <v>#REF!</v>
      </c>
      <c r="FY37" t="e">
        <f>AND(#REF!,"AAAAAE9n87Q=")</f>
        <v>#REF!</v>
      </c>
      <c r="FZ37" t="e">
        <f>AND(#REF!,"AAAAAE9n87U=")</f>
        <v>#REF!</v>
      </c>
      <c r="GA37" t="e">
        <f>AND(#REF!,"AAAAAE9n87Y=")</f>
        <v>#REF!</v>
      </c>
      <c r="GB37" t="e">
        <f>AND(#REF!,"AAAAAE9n87c=")</f>
        <v>#REF!</v>
      </c>
      <c r="GC37" t="e">
        <f>AND(#REF!,"AAAAAE9n87g=")</f>
        <v>#REF!</v>
      </c>
      <c r="GD37" t="e">
        <f>AND(#REF!,"AAAAAE9n87k=")</f>
        <v>#REF!</v>
      </c>
      <c r="GE37" t="e">
        <f>AND(#REF!,"AAAAAE9n87o=")</f>
        <v>#REF!</v>
      </c>
      <c r="GF37" t="e">
        <f>AND(#REF!,"AAAAAE9n87s=")</f>
        <v>#REF!</v>
      </c>
      <c r="GG37" t="e">
        <f>AND(#REF!,"AAAAAE9n87w=")</f>
        <v>#REF!</v>
      </c>
      <c r="GH37" t="e">
        <f>AND(#REF!,"AAAAAE9n870=")</f>
        <v>#REF!</v>
      </c>
      <c r="GI37" t="e">
        <f>AND(#REF!,"AAAAAE9n874=")</f>
        <v>#REF!</v>
      </c>
      <c r="GJ37" t="e">
        <f>AND(#REF!,"AAAAAE9n878=")</f>
        <v>#REF!</v>
      </c>
      <c r="GK37" t="e">
        <f>AND(#REF!,"AAAAAE9n88A=")</f>
        <v>#REF!</v>
      </c>
      <c r="GL37" t="e">
        <f>AND(#REF!,"AAAAAE9n88E=")</f>
        <v>#REF!</v>
      </c>
      <c r="GM37" t="e">
        <f>AND(#REF!,"AAAAAE9n88I=")</f>
        <v>#REF!</v>
      </c>
      <c r="GN37" t="e">
        <f>AND(#REF!,"AAAAAE9n88M=")</f>
        <v>#REF!</v>
      </c>
      <c r="GO37" t="e">
        <f>AND(#REF!,"AAAAAE9n88Q=")</f>
        <v>#REF!</v>
      </c>
      <c r="GP37" t="e">
        <f>AND(#REF!,"AAAAAE9n88U=")</f>
        <v>#REF!</v>
      </c>
      <c r="GQ37" t="e">
        <f>AND(#REF!,"AAAAAE9n88Y=")</f>
        <v>#REF!</v>
      </c>
      <c r="GR37" t="e">
        <f>AND(#REF!,"AAAAAE9n88c=")</f>
        <v>#REF!</v>
      </c>
      <c r="GS37" t="e">
        <f>AND(#REF!,"AAAAAE9n88g=")</f>
        <v>#REF!</v>
      </c>
      <c r="GT37" t="e">
        <f>IF(#REF!,"AAAAAE9n88k=",0)</f>
        <v>#REF!</v>
      </c>
      <c r="GU37" t="e">
        <f>AND(#REF!,"AAAAAE9n88o=")</f>
        <v>#REF!</v>
      </c>
      <c r="GV37" t="e">
        <f>AND(#REF!,"AAAAAE9n88s=")</f>
        <v>#REF!</v>
      </c>
      <c r="GW37" t="e">
        <f>AND(#REF!,"AAAAAE9n88w=")</f>
        <v>#REF!</v>
      </c>
      <c r="GX37" t="e">
        <f>AND(#REF!,"AAAAAE9n880=")</f>
        <v>#REF!</v>
      </c>
      <c r="GY37" t="e">
        <f>AND(#REF!,"AAAAAE9n884=")</f>
        <v>#REF!</v>
      </c>
      <c r="GZ37" t="e">
        <f>AND(#REF!,"AAAAAE9n888=")</f>
        <v>#REF!</v>
      </c>
      <c r="HA37" t="e">
        <f>AND(#REF!,"AAAAAE9n89A=")</f>
        <v>#REF!</v>
      </c>
      <c r="HB37" t="e">
        <f>AND(#REF!,"AAAAAE9n89E=")</f>
        <v>#REF!</v>
      </c>
      <c r="HC37" t="e">
        <f>AND(#REF!,"AAAAAE9n89I=")</f>
        <v>#REF!</v>
      </c>
      <c r="HD37" t="e">
        <f>AND(#REF!,"AAAAAE9n89M=")</f>
        <v>#REF!</v>
      </c>
      <c r="HE37" t="e">
        <f>AND(#REF!,"AAAAAE9n89Q=")</f>
        <v>#REF!</v>
      </c>
      <c r="HF37" t="e">
        <f>AND(#REF!,"AAAAAE9n89U=")</f>
        <v>#REF!</v>
      </c>
      <c r="HG37" t="e">
        <f>AND(#REF!,"AAAAAE9n89Y=")</f>
        <v>#REF!</v>
      </c>
      <c r="HH37" t="e">
        <f>AND(#REF!,"AAAAAE9n89c=")</f>
        <v>#REF!</v>
      </c>
      <c r="HI37" t="e">
        <f>AND(#REF!,"AAAAAE9n89g=")</f>
        <v>#REF!</v>
      </c>
      <c r="HJ37" t="e">
        <f>AND(#REF!,"AAAAAE9n89k=")</f>
        <v>#REF!</v>
      </c>
      <c r="HK37" t="e">
        <f>AND(#REF!,"AAAAAE9n89o=")</f>
        <v>#REF!</v>
      </c>
      <c r="HL37" t="e">
        <f>AND(#REF!,"AAAAAE9n89s=")</f>
        <v>#REF!</v>
      </c>
      <c r="HM37" t="e">
        <f>AND(#REF!,"AAAAAE9n89w=")</f>
        <v>#REF!</v>
      </c>
      <c r="HN37" t="e">
        <f>AND(#REF!,"AAAAAE9n890=")</f>
        <v>#REF!</v>
      </c>
      <c r="HO37" t="e">
        <f>AND(#REF!,"AAAAAE9n894=")</f>
        <v>#REF!</v>
      </c>
      <c r="HP37" t="e">
        <f>AND(#REF!,"AAAAAE9n898=")</f>
        <v>#REF!</v>
      </c>
      <c r="HQ37" t="e">
        <f>AND(#REF!,"AAAAAE9n8+A=")</f>
        <v>#REF!</v>
      </c>
      <c r="HR37" t="e">
        <f>AND(#REF!,"AAAAAE9n8+E=")</f>
        <v>#REF!</v>
      </c>
      <c r="HS37" t="e">
        <f>AND(#REF!,"AAAAAE9n8+I=")</f>
        <v>#REF!</v>
      </c>
      <c r="HT37" t="e">
        <f>AND(#REF!,"AAAAAE9n8+M=")</f>
        <v>#REF!</v>
      </c>
      <c r="HU37" t="e">
        <f>IF(#REF!,"AAAAAE9n8+Q=",0)</f>
        <v>#REF!</v>
      </c>
      <c r="HV37" t="e">
        <f>AND(#REF!,"AAAAAE9n8+U=")</f>
        <v>#REF!</v>
      </c>
      <c r="HW37" t="e">
        <f>AND(#REF!,"AAAAAE9n8+Y=")</f>
        <v>#REF!</v>
      </c>
      <c r="HX37" t="e">
        <f>AND(#REF!,"AAAAAE9n8+c=")</f>
        <v>#REF!</v>
      </c>
      <c r="HY37" t="e">
        <f>AND(#REF!,"AAAAAE9n8+g=")</f>
        <v>#REF!</v>
      </c>
      <c r="HZ37" t="e">
        <f>AND(#REF!,"AAAAAE9n8+k=")</f>
        <v>#REF!</v>
      </c>
      <c r="IA37" t="e">
        <f>AND(#REF!,"AAAAAE9n8+o=")</f>
        <v>#REF!</v>
      </c>
      <c r="IB37" t="e">
        <f>AND(#REF!,"AAAAAE9n8+s=")</f>
        <v>#REF!</v>
      </c>
      <c r="IC37" t="e">
        <f>AND(#REF!,"AAAAAE9n8+w=")</f>
        <v>#REF!</v>
      </c>
      <c r="ID37" t="e">
        <f>AND(#REF!,"AAAAAE9n8+0=")</f>
        <v>#REF!</v>
      </c>
      <c r="IE37" t="e">
        <f>AND(#REF!,"AAAAAE9n8+4=")</f>
        <v>#REF!</v>
      </c>
      <c r="IF37" t="e">
        <f>AND(#REF!,"AAAAAE9n8+8=")</f>
        <v>#REF!</v>
      </c>
      <c r="IG37" t="e">
        <f>AND(#REF!,"AAAAAE9n8/A=")</f>
        <v>#REF!</v>
      </c>
      <c r="IH37" t="e">
        <f>AND(#REF!,"AAAAAE9n8/E=")</f>
        <v>#REF!</v>
      </c>
      <c r="II37" t="e">
        <f>AND(#REF!,"AAAAAE9n8/I=")</f>
        <v>#REF!</v>
      </c>
      <c r="IJ37" t="e">
        <f>AND(#REF!,"AAAAAE9n8/M=")</f>
        <v>#REF!</v>
      </c>
      <c r="IK37" t="e">
        <f>AND(#REF!,"AAAAAE9n8/Q=")</f>
        <v>#REF!</v>
      </c>
      <c r="IL37" t="e">
        <f>AND(#REF!,"AAAAAE9n8/U=")</f>
        <v>#REF!</v>
      </c>
      <c r="IM37" t="e">
        <f>AND(#REF!,"AAAAAE9n8/Y=")</f>
        <v>#REF!</v>
      </c>
      <c r="IN37" t="e">
        <f>AND(#REF!,"AAAAAE9n8/c=")</f>
        <v>#REF!</v>
      </c>
      <c r="IO37" t="e">
        <f>AND(#REF!,"AAAAAE9n8/g=")</f>
        <v>#REF!</v>
      </c>
      <c r="IP37" t="e">
        <f>AND(#REF!,"AAAAAE9n8/k=")</f>
        <v>#REF!</v>
      </c>
      <c r="IQ37" t="e">
        <f>AND(#REF!,"AAAAAE9n8/o=")</f>
        <v>#REF!</v>
      </c>
      <c r="IR37" t="e">
        <f>AND(#REF!,"AAAAAE9n8/s=")</f>
        <v>#REF!</v>
      </c>
      <c r="IS37" t="e">
        <f>AND(#REF!,"AAAAAE9n8/w=")</f>
        <v>#REF!</v>
      </c>
      <c r="IT37" t="e">
        <f>AND(#REF!,"AAAAAE9n8/0=")</f>
        <v>#REF!</v>
      </c>
      <c r="IU37" t="e">
        <f>AND(#REF!,"AAAAAE9n8/4=")</f>
        <v>#REF!</v>
      </c>
      <c r="IV37" t="e">
        <f>IF(#REF!,"AAAAAE9n8/8=",0)</f>
        <v>#REF!</v>
      </c>
    </row>
    <row r="38" spans="1:256" x14ac:dyDescent="0.2">
      <c r="A38" t="e">
        <f>AND(#REF!,"AAAAAC57egA=")</f>
        <v>#REF!</v>
      </c>
      <c r="B38" t="e">
        <f>AND(#REF!,"AAAAAC57egE=")</f>
        <v>#REF!</v>
      </c>
      <c r="C38" t="e">
        <f>AND(#REF!,"AAAAAC57egI=")</f>
        <v>#REF!</v>
      </c>
      <c r="D38" t="e">
        <f>AND(#REF!,"AAAAAC57egM=")</f>
        <v>#REF!</v>
      </c>
      <c r="E38" t="e">
        <f>AND(#REF!,"AAAAAC57egQ=")</f>
        <v>#REF!</v>
      </c>
      <c r="F38" t="e">
        <f>AND(#REF!,"AAAAAC57egU=")</f>
        <v>#REF!</v>
      </c>
      <c r="G38" t="e">
        <f>AND(#REF!,"AAAAAC57egY=")</f>
        <v>#REF!</v>
      </c>
      <c r="H38" t="e">
        <f>AND(#REF!,"AAAAAC57egc=")</f>
        <v>#REF!</v>
      </c>
      <c r="I38" t="e">
        <f>AND(#REF!,"AAAAAC57egg=")</f>
        <v>#REF!</v>
      </c>
      <c r="J38" t="e">
        <f>AND(#REF!,"AAAAAC57egk=")</f>
        <v>#REF!</v>
      </c>
      <c r="K38" t="e">
        <f>AND(#REF!,"AAAAAC57ego=")</f>
        <v>#REF!</v>
      </c>
      <c r="L38" t="e">
        <f>AND(#REF!,"AAAAAC57egs=")</f>
        <v>#REF!</v>
      </c>
      <c r="M38" t="e">
        <f>AND(#REF!,"AAAAAC57egw=")</f>
        <v>#REF!</v>
      </c>
      <c r="N38" t="e">
        <f>AND(#REF!,"AAAAAC57eg0=")</f>
        <v>#REF!</v>
      </c>
      <c r="O38" t="e">
        <f>AND(#REF!,"AAAAAC57eg4=")</f>
        <v>#REF!</v>
      </c>
      <c r="P38" t="e">
        <f>AND(#REF!,"AAAAAC57eg8=")</f>
        <v>#REF!</v>
      </c>
      <c r="Q38" t="e">
        <f>AND(#REF!,"AAAAAC57ehA=")</f>
        <v>#REF!</v>
      </c>
      <c r="R38" t="e">
        <f>AND(#REF!,"AAAAAC57ehE=")</f>
        <v>#REF!</v>
      </c>
      <c r="S38" t="e">
        <f>AND(#REF!,"AAAAAC57ehI=")</f>
        <v>#REF!</v>
      </c>
      <c r="T38" t="e">
        <f>AND(#REF!,"AAAAAC57ehM=")</f>
        <v>#REF!</v>
      </c>
      <c r="U38" t="e">
        <f>AND(#REF!,"AAAAAC57ehQ=")</f>
        <v>#REF!</v>
      </c>
      <c r="V38" t="e">
        <f>AND(#REF!,"AAAAAC57ehU=")</f>
        <v>#REF!</v>
      </c>
      <c r="W38" t="e">
        <f>AND(#REF!,"AAAAAC57ehY=")</f>
        <v>#REF!</v>
      </c>
      <c r="X38" t="e">
        <f>AND(#REF!,"AAAAAC57ehc=")</f>
        <v>#REF!</v>
      </c>
      <c r="Y38" t="e">
        <f>AND(#REF!,"AAAAAC57ehg=")</f>
        <v>#REF!</v>
      </c>
      <c r="Z38" t="e">
        <f>AND(#REF!,"AAAAAC57ehk=")</f>
        <v>#REF!</v>
      </c>
      <c r="AA38" t="e">
        <f>IF(#REF!,"AAAAAC57eho=",0)</f>
        <v>#REF!</v>
      </c>
      <c r="AB38" t="e">
        <f>AND(#REF!,"AAAAAC57ehs=")</f>
        <v>#REF!</v>
      </c>
      <c r="AC38" t="e">
        <f>AND(#REF!,"AAAAAC57ehw=")</f>
        <v>#REF!</v>
      </c>
      <c r="AD38" t="e">
        <f>AND(#REF!,"AAAAAC57eh0=")</f>
        <v>#REF!</v>
      </c>
      <c r="AE38" t="e">
        <f>AND(#REF!,"AAAAAC57eh4=")</f>
        <v>#REF!</v>
      </c>
      <c r="AF38" t="e">
        <f>AND(#REF!,"AAAAAC57eh8=")</f>
        <v>#REF!</v>
      </c>
      <c r="AG38" t="e">
        <f>AND(#REF!,"AAAAAC57eiA=")</f>
        <v>#REF!</v>
      </c>
      <c r="AH38" t="e">
        <f>AND(#REF!,"AAAAAC57eiE=")</f>
        <v>#REF!</v>
      </c>
      <c r="AI38" t="e">
        <f>AND(#REF!,"AAAAAC57eiI=")</f>
        <v>#REF!</v>
      </c>
      <c r="AJ38" t="e">
        <f>AND(#REF!,"AAAAAC57eiM=")</f>
        <v>#REF!</v>
      </c>
      <c r="AK38" t="e">
        <f>AND(#REF!,"AAAAAC57eiQ=")</f>
        <v>#REF!</v>
      </c>
      <c r="AL38" t="e">
        <f>AND(#REF!,"AAAAAC57eiU=")</f>
        <v>#REF!</v>
      </c>
      <c r="AM38" t="e">
        <f>AND(#REF!,"AAAAAC57eiY=")</f>
        <v>#REF!</v>
      </c>
      <c r="AN38" t="e">
        <f>AND(#REF!,"AAAAAC57eic=")</f>
        <v>#REF!</v>
      </c>
      <c r="AO38" t="e">
        <f>AND(#REF!,"AAAAAC57eig=")</f>
        <v>#REF!</v>
      </c>
      <c r="AP38" t="e">
        <f>AND(#REF!,"AAAAAC57eik=")</f>
        <v>#REF!</v>
      </c>
      <c r="AQ38" t="e">
        <f>AND(#REF!,"AAAAAC57eio=")</f>
        <v>#REF!</v>
      </c>
      <c r="AR38" t="e">
        <f>AND(#REF!,"AAAAAC57eis=")</f>
        <v>#REF!</v>
      </c>
      <c r="AS38" t="e">
        <f>AND(#REF!,"AAAAAC57eiw=")</f>
        <v>#REF!</v>
      </c>
      <c r="AT38" t="e">
        <f>AND(#REF!,"AAAAAC57ei0=")</f>
        <v>#REF!</v>
      </c>
      <c r="AU38" t="e">
        <f>AND(#REF!,"AAAAAC57ei4=")</f>
        <v>#REF!</v>
      </c>
      <c r="AV38" t="e">
        <f>AND(#REF!,"AAAAAC57ei8=")</f>
        <v>#REF!</v>
      </c>
      <c r="AW38" t="e">
        <f>AND(#REF!,"AAAAAC57ejA=")</f>
        <v>#REF!</v>
      </c>
      <c r="AX38" t="e">
        <f>AND(#REF!,"AAAAAC57ejE=")</f>
        <v>#REF!</v>
      </c>
      <c r="AY38" t="e">
        <f>AND(#REF!,"AAAAAC57ejI=")</f>
        <v>#REF!</v>
      </c>
      <c r="AZ38" t="e">
        <f>AND(#REF!,"AAAAAC57ejM=")</f>
        <v>#REF!</v>
      </c>
      <c r="BA38" t="e">
        <f>AND(#REF!,"AAAAAC57ejQ=")</f>
        <v>#REF!</v>
      </c>
      <c r="BB38" t="e">
        <f>IF(#REF!,"AAAAAC57ejU=",0)</f>
        <v>#REF!</v>
      </c>
      <c r="BC38" t="e">
        <f>AND(#REF!,"AAAAAC57ejY=")</f>
        <v>#REF!</v>
      </c>
      <c r="BD38" t="e">
        <f>AND(#REF!,"AAAAAC57ejc=")</f>
        <v>#REF!</v>
      </c>
      <c r="BE38" t="e">
        <f>AND(#REF!,"AAAAAC57ejg=")</f>
        <v>#REF!</v>
      </c>
      <c r="BF38" t="e">
        <f>AND(#REF!,"AAAAAC57ejk=")</f>
        <v>#REF!</v>
      </c>
      <c r="BG38" t="e">
        <f>AND(#REF!,"AAAAAC57ejo=")</f>
        <v>#REF!</v>
      </c>
      <c r="BH38" t="e">
        <f>AND(#REF!,"AAAAAC57ejs=")</f>
        <v>#REF!</v>
      </c>
      <c r="BI38" t="e">
        <f>AND(#REF!,"AAAAAC57ejw=")</f>
        <v>#REF!</v>
      </c>
      <c r="BJ38" t="e">
        <f>AND(#REF!,"AAAAAC57ej0=")</f>
        <v>#REF!</v>
      </c>
      <c r="BK38" t="e">
        <f>AND(#REF!,"AAAAAC57ej4=")</f>
        <v>#REF!</v>
      </c>
      <c r="BL38" t="e">
        <f>AND(#REF!,"AAAAAC57ej8=")</f>
        <v>#REF!</v>
      </c>
      <c r="BM38" t="e">
        <f>AND(#REF!,"AAAAAC57ekA=")</f>
        <v>#REF!</v>
      </c>
      <c r="BN38" t="e">
        <f>AND(#REF!,"AAAAAC57ekE=")</f>
        <v>#REF!</v>
      </c>
      <c r="BO38" t="e">
        <f>AND(#REF!,"AAAAAC57ekI=")</f>
        <v>#REF!</v>
      </c>
      <c r="BP38" t="e">
        <f>AND(#REF!,"AAAAAC57ekM=")</f>
        <v>#REF!</v>
      </c>
      <c r="BQ38" t="e">
        <f>AND(#REF!,"AAAAAC57ekQ=")</f>
        <v>#REF!</v>
      </c>
      <c r="BR38" t="e">
        <f>AND(#REF!,"AAAAAC57ekU=")</f>
        <v>#REF!</v>
      </c>
      <c r="BS38" t="e">
        <f>AND(#REF!,"AAAAAC57ekY=")</f>
        <v>#REF!</v>
      </c>
      <c r="BT38" t="e">
        <f>AND(#REF!,"AAAAAC57ekc=")</f>
        <v>#REF!</v>
      </c>
      <c r="BU38" t="e">
        <f>AND(#REF!,"AAAAAC57ekg=")</f>
        <v>#REF!</v>
      </c>
      <c r="BV38" t="e">
        <f>AND(#REF!,"AAAAAC57ekk=")</f>
        <v>#REF!</v>
      </c>
      <c r="BW38" t="e">
        <f>AND(#REF!,"AAAAAC57eko=")</f>
        <v>#REF!</v>
      </c>
      <c r="BX38" t="e">
        <f>AND(#REF!,"AAAAAC57eks=")</f>
        <v>#REF!</v>
      </c>
      <c r="BY38" t="e">
        <f>AND(#REF!,"AAAAAC57ekw=")</f>
        <v>#REF!</v>
      </c>
      <c r="BZ38" t="e">
        <f>AND(#REF!,"AAAAAC57ek0=")</f>
        <v>#REF!</v>
      </c>
      <c r="CA38" t="e">
        <f>AND(#REF!,"AAAAAC57ek4=")</f>
        <v>#REF!</v>
      </c>
      <c r="CB38" t="e">
        <f>AND(#REF!,"AAAAAC57ek8=")</f>
        <v>#REF!</v>
      </c>
      <c r="CC38" t="e">
        <f>IF(#REF!,"AAAAAC57elA=",0)</f>
        <v>#REF!</v>
      </c>
      <c r="CD38" t="e">
        <f>AND(#REF!,"AAAAAC57elE=")</f>
        <v>#REF!</v>
      </c>
      <c r="CE38" t="e">
        <f>AND(#REF!,"AAAAAC57elI=")</f>
        <v>#REF!</v>
      </c>
      <c r="CF38" t="e">
        <f>AND(#REF!,"AAAAAC57elM=")</f>
        <v>#REF!</v>
      </c>
      <c r="CG38" t="e">
        <f>AND(#REF!,"AAAAAC57elQ=")</f>
        <v>#REF!</v>
      </c>
      <c r="CH38" t="e">
        <f>AND(#REF!,"AAAAAC57elU=")</f>
        <v>#REF!</v>
      </c>
      <c r="CI38" t="e">
        <f>AND(#REF!,"AAAAAC57elY=")</f>
        <v>#REF!</v>
      </c>
      <c r="CJ38" t="e">
        <f>AND(#REF!,"AAAAAC57elc=")</f>
        <v>#REF!</v>
      </c>
      <c r="CK38" t="e">
        <f>AND(#REF!,"AAAAAC57elg=")</f>
        <v>#REF!</v>
      </c>
      <c r="CL38" t="e">
        <f>AND(#REF!,"AAAAAC57elk=")</f>
        <v>#REF!</v>
      </c>
      <c r="CM38" t="e">
        <f>AND(#REF!,"AAAAAC57elo=")</f>
        <v>#REF!</v>
      </c>
      <c r="CN38" t="e">
        <f>AND(#REF!,"AAAAAC57els=")</f>
        <v>#REF!</v>
      </c>
      <c r="CO38" t="e">
        <f>AND(#REF!,"AAAAAC57elw=")</f>
        <v>#REF!</v>
      </c>
      <c r="CP38" t="e">
        <f>AND(#REF!,"AAAAAC57el0=")</f>
        <v>#REF!</v>
      </c>
      <c r="CQ38" t="e">
        <f>AND(#REF!,"AAAAAC57el4=")</f>
        <v>#REF!</v>
      </c>
      <c r="CR38" t="e">
        <f>AND(#REF!,"AAAAAC57el8=")</f>
        <v>#REF!</v>
      </c>
      <c r="CS38" t="e">
        <f>AND(#REF!,"AAAAAC57emA=")</f>
        <v>#REF!</v>
      </c>
      <c r="CT38" t="e">
        <f>AND(#REF!,"AAAAAC57emE=")</f>
        <v>#REF!</v>
      </c>
      <c r="CU38" t="e">
        <f>AND(#REF!,"AAAAAC57emI=")</f>
        <v>#REF!</v>
      </c>
      <c r="CV38" t="e">
        <f>AND(#REF!,"AAAAAC57emM=")</f>
        <v>#REF!</v>
      </c>
      <c r="CW38" t="e">
        <f>AND(#REF!,"AAAAAC57emQ=")</f>
        <v>#REF!</v>
      </c>
      <c r="CX38" t="e">
        <f>AND(#REF!,"AAAAAC57emU=")</f>
        <v>#REF!</v>
      </c>
      <c r="CY38" t="e">
        <f>AND(#REF!,"AAAAAC57emY=")</f>
        <v>#REF!</v>
      </c>
      <c r="CZ38" t="e">
        <f>AND(#REF!,"AAAAAC57emc=")</f>
        <v>#REF!</v>
      </c>
      <c r="DA38" t="e">
        <f>AND(#REF!,"AAAAAC57emg=")</f>
        <v>#REF!</v>
      </c>
      <c r="DB38" t="e">
        <f>AND(#REF!,"AAAAAC57emk=")</f>
        <v>#REF!</v>
      </c>
      <c r="DC38" t="e">
        <f>AND(#REF!,"AAAAAC57emo=")</f>
        <v>#REF!</v>
      </c>
      <c r="DD38" t="e">
        <f>IF(#REF!,"AAAAAC57ems=",0)</f>
        <v>#REF!</v>
      </c>
      <c r="DE38" t="e">
        <f>AND(#REF!,"AAAAAC57emw=")</f>
        <v>#REF!</v>
      </c>
      <c r="DF38" t="e">
        <f>AND(#REF!,"AAAAAC57em0=")</f>
        <v>#REF!</v>
      </c>
      <c r="DG38" t="e">
        <f>AND(#REF!,"AAAAAC57em4=")</f>
        <v>#REF!</v>
      </c>
      <c r="DH38" t="e">
        <f>AND(#REF!,"AAAAAC57em8=")</f>
        <v>#REF!</v>
      </c>
      <c r="DI38" t="e">
        <f>AND(#REF!,"AAAAAC57enA=")</f>
        <v>#REF!</v>
      </c>
      <c r="DJ38" t="e">
        <f>AND(#REF!,"AAAAAC57enE=")</f>
        <v>#REF!</v>
      </c>
      <c r="DK38" t="e">
        <f>AND(#REF!,"AAAAAC57enI=")</f>
        <v>#REF!</v>
      </c>
      <c r="DL38" t="e">
        <f>AND(#REF!,"AAAAAC57enM=")</f>
        <v>#REF!</v>
      </c>
      <c r="DM38" t="e">
        <f>AND(#REF!,"AAAAAC57enQ=")</f>
        <v>#REF!</v>
      </c>
      <c r="DN38" t="e">
        <f>AND(#REF!,"AAAAAC57enU=")</f>
        <v>#REF!</v>
      </c>
      <c r="DO38" t="e">
        <f>AND(#REF!,"AAAAAC57enY=")</f>
        <v>#REF!</v>
      </c>
      <c r="DP38" t="e">
        <f>AND(#REF!,"AAAAAC57enc=")</f>
        <v>#REF!</v>
      </c>
      <c r="DQ38" t="e">
        <f>AND(#REF!,"AAAAAC57eng=")</f>
        <v>#REF!</v>
      </c>
      <c r="DR38" t="e">
        <f>AND(#REF!,"AAAAAC57enk=")</f>
        <v>#REF!</v>
      </c>
      <c r="DS38" t="e">
        <f>AND(#REF!,"AAAAAC57eno=")</f>
        <v>#REF!</v>
      </c>
      <c r="DT38" t="e">
        <f>AND(#REF!,"AAAAAC57ens=")</f>
        <v>#REF!</v>
      </c>
      <c r="DU38" t="e">
        <f>AND(#REF!,"AAAAAC57enw=")</f>
        <v>#REF!</v>
      </c>
      <c r="DV38" t="e">
        <f>AND(#REF!,"AAAAAC57en0=")</f>
        <v>#REF!</v>
      </c>
      <c r="DW38" t="e">
        <f>AND(#REF!,"AAAAAC57en4=")</f>
        <v>#REF!</v>
      </c>
      <c r="DX38" t="e">
        <f>AND(#REF!,"AAAAAC57en8=")</f>
        <v>#REF!</v>
      </c>
      <c r="DY38" t="e">
        <f>AND(#REF!,"AAAAAC57eoA=")</f>
        <v>#REF!</v>
      </c>
      <c r="DZ38" t="e">
        <f>AND(#REF!,"AAAAAC57eoE=")</f>
        <v>#REF!</v>
      </c>
      <c r="EA38" t="e">
        <f>AND(#REF!,"AAAAAC57eoI=")</f>
        <v>#REF!</v>
      </c>
      <c r="EB38" t="e">
        <f>AND(#REF!,"AAAAAC57eoM=")</f>
        <v>#REF!</v>
      </c>
      <c r="EC38" t="e">
        <f>AND(#REF!,"AAAAAC57eoQ=")</f>
        <v>#REF!</v>
      </c>
      <c r="ED38" t="e">
        <f>AND(#REF!,"AAAAAC57eoU=")</f>
        <v>#REF!</v>
      </c>
      <c r="EE38" t="e">
        <f>IF(#REF!,"AAAAAC57eoY=",0)</f>
        <v>#REF!</v>
      </c>
      <c r="EF38" t="e">
        <f>AND(#REF!,"AAAAAC57eoc=")</f>
        <v>#REF!</v>
      </c>
      <c r="EG38" t="e">
        <f>AND(#REF!,"AAAAAC57eog=")</f>
        <v>#REF!</v>
      </c>
      <c r="EH38" t="e">
        <f>AND(#REF!,"AAAAAC57eok=")</f>
        <v>#REF!</v>
      </c>
      <c r="EI38" t="e">
        <f>AND(#REF!,"AAAAAC57eoo=")</f>
        <v>#REF!</v>
      </c>
      <c r="EJ38" t="e">
        <f>AND(#REF!,"AAAAAC57eos=")</f>
        <v>#REF!</v>
      </c>
      <c r="EK38" t="e">
        <f>AND(#REF!,"AAAAAC57eow=")</f>
        <v>#REF!</v>
      </c>
      <c r="EL38" t="e">
        <f>AND(#REF!,"AAAAAC57eo0=")</f>
        <v>#REF!</v>
      </c>
      <c r="EM38" t="e">
        <f>AND(#REF!,"AAAAAC57eo4=")</f>
        <v>#REF!</v>
      </c>
      <c r="EN38" t="e">
        <f>AND(#REF!,"AAAAAC57eo8=")</f>
        <v>#REF!</v>
      </c>
      <c r="EO38" t="e">
        <f>AND(#REF!,"AAAAAC57epA=")</f>
        <v>#REF!</v>
      </c>
      <c r="EP38" t="e">
        <f>AND(#REF!,"AAAAAC57epE=")</f>
        <v>#REF!</v>
      </c>
      <c r="EQ38" t="e">
        <f>AND(#REF!,"AAAAAC57epI=")</f>
        <v>#REF!</v>
      </c>
      <c r="ER38" t="e">
        <f>AND(#REF!,"AAAAAC57epM=")</f>
        <v>#REF!</v>
      </c>
      <c r="ES38" t="e">
        <f>AND(#REF!,"AAAAAC57epQ=")</f>
        <v>#REF!</v>
      </c>
      <c r="ET38" t="e">
        <f>AND(#REF!,"AAAAAC57epU=")</f>
        <v>#REF!</v>
      </c>
      <c r="EU38" t="e">
        <f>AND(#REF!,"AAAAAC57epY=")</f>
        <v>#REF!</v>
      </c>
      <c r="EV38" t="e">
        <f>AND(#REF!,"AAAAAC57epc=")</f>
        <v>#REF!</v>
      </c>
      <c r="EW38" t="e">
        <f>AND(#REF!,"AAAAAC57epg=")</f>
        <v>#REF!</v>
      </c>
      <c r="EX38" t="e">
        <f>AND(#REF!,"AAAAAC57epk=")</f>
        <v>#REF!</v>
      </c>
      <c r="EY38" t="e">
        <f>AND(#REF!,"AAAAAC57epo=")</f>
        <v>#REF!</v>
      </c>
      <c r="EZ38" t="e">
        <f>AND(#REF!,"AAAAAC57eps=")</f>
        <v>#REF!</v>
      </c>
      <c r="FA38" t="e">
        <f>AND(#REF!,"AAAAAC57epw=")</f>
        <v>#REF!</v>
      </c>
      <c r="FB38" t="e">
        <f>AND(#REF!,"AAAAAC57ep0=")</f>
        <v>#REF!</v>
      </c>
      <c r="FC38" t="e">
        <f>AND(#REF!,"AAAAAC57ep4=")</f>
        <v>#REF!</v>
      </c>
      <c r="FD38" t="e">
        <f>AND(#REF!,"AAAAAC57ep8=")</f>
        <v>#REF!</v>
      </c>
      <c r="FE38" t="e">
        <f>AND(#REF!,"AAAAAC57eqA=")</f>
        <v>#REF!</v>
      </c>
      <c r="FF38" t="e">
        <f>IF(#REF!,"AAAAAC57eqE=",0)</f>
        <v>#REF!</v>
      </c>
      <c r="FG38" t="e">
        <f>AND(#REF!,"AAAAAC57eqI=")</f>
        <v>#REF!</v>
      </c>
      <c r="FH38" t="e">
        <f>AND(#REF!,"AAAAAC57eqM=")</f>
        <v>#REF!</v>
      </c>
      <c r="FI38" t="e">
        <f>AND(#REF!,"AAAAAC57eqQ=")</f>
        <v>#REF!</v>
      </c>
      <c r="FJ38" t="e">
        <f>AND(#REF!,"AAAAAC57eqU=")</f>
        <v>#REF!</v>
      </c>
      <c r="FK38" t="e">
        <f>AND(#REF!,"AAAAAC57eqY=")</f>
        <v>#REF!</v>
      </c>
      <c r="FL38" t="e">
        <f>AND(#REF!,"AAAAAC57eqc=")</f>
        <v>#REF!</v>
      </c>
      <c r="FM38" t="e">
        <f>AND(#REF!,"AAAAAC57eqg=")</f>
        <v>#REF!</v>
      </c>
      <c r="FN38" t="e">
        <f>AND(#REF!,"AAAAAC57eqk=")</f>
        <v>#REF!</v>
      </c>
      <c r="FO38" t="e">
        <f>AND(#REF!,"AAAAAC57eqo=")</f>
        <v>#REF!</v>
      </c>
      <c r="FP38" t="e">
        <f>AND(#REF!,"AAAAAC57eqs=")</f>
        <v>#REF!</v>
      </c>
      <c r="FQ38" t="e">
        <f>AND(#REF!,"AAAAAC57eqw=")</f>
        <v>#REF!</v>
      </c>
      <c r="FR38" t="e">
        <f>AND(#REF!,"AAAAAC57eq0=")</f>
        <v>#REF!</v>
      </c>
      <c r="FS38" t="e">
        <f>AND(#REF!,"AAAAAC57eq4=")</f>
        <v>#REF!</v>
      </c>
      <c r="FT38" t="e">
        <f>AND(#REF!,"AAAAAC57eq8=")</f>
        <v>#REF!</v>
      </c>
      <c r="FU38" t="e">
        <f>AND(#REF!,"AAAAAC57erA=")</f>
        <v>#REF!</v>
      </c>
      <c r="FV38" t="e">
        <f>AND(#REF!,"AAAAAC57erE=")</f>
        <v>#REF!</v>
      </c>
      <c r="FW38" t="e">
        <f>AND(#REF!,"AAAAAC57erI=")</f>
        <v>#REF!</v>
      </c>
      <c r="FX38" t="e">
        <f>AND(#REF!,"AAAAAC57erM=")</f>
        <v>#REF!</v>
      </c>
      <c r="FY38" t="e">
        <f>AND(#REF!,"AAAAAC57erQ=")</f>
        <v>#REF!</v>
      </c>
      <c r="FZ38" t="e">
        <f>AND(#REF!,"AAAAAC57erU=")</f>
        <v>#REF!</v>
      </c>
      <c r="GA38" t="e">
        <f>AND(#REF!,"AAAAAC57erY=")</f>
        <v>#REF!</v>
      </c>
      <c r="GB38" t="e">
        <f>AND(#REF!,"AAAAAC57erc=")</f>
        <v>#REF!</v>
      </c>
      <c r="GC38" t="e">
        <f>AND(#REF!,"AAAAAC57erg=")</f>
        <v>#REF!</v>
      </c>
      <c r="GD38" t="e">
        <f>AND(#REF!,"AAAAAC57erk=")</f>
        <v>#REF!</v>
      </c>
      <c r="GE38" t="e">
        <f>AND(#REF!,"AAAAAC57ero=")</f>
        <v>#REF!</v>
      </c>
      <c r="GF38" t="e">
        <f>AND(#REF!,"AAAAAC57ers=")</f>
        <v>#REF!</v>
      </c>
      <c r="GG38" t="e">
        <f>IF(#REF!,"AAAAAC57erw=",0)</f>
        <v>#REF!</v>
      </c>
      <c r="GH38" t="e">
        <f>AND(#REF!,"AAAAAC57er0=")</f>
        <v>#REF!</v>
      </c>
      <c r="GI38" t="e">
        <f>AND(#REF!,"AAAAAC57er4=")</f>
        <v>#REF!</v>
      </c>
      <c r="GJ38" t="e">
        <f>AND(#REF!,"AAAAAC57er8=")</f>
        <v>#REF!</v>
      </c>
      <c r="GK38" t="e">
        <f>AND(#REF!,"AAAAAC57esA=")</f>
        <v>#REF!</v>
      </c>
      <c r="GL38" t="e">
        <f>AND(#REF!,"AAAAAC57esE=")</f>
        <v>#REF!</v>
      </c>
      <c r="GM38" t="e">
        <f>AND(#REF!,"AAAAAC57esI=")</f>
        <v>#REF!</v>
      </c>
      <c r="GN38" t="e">
        <f>AND(#REF!,"AAAAAC57esM=")</f>
        <v>#REF!</v>
      </c>
      <c r="GO38" t="e">
        <f>AND(#REF!,"AAAAAC57esQ=")</f>
        <v>#REF!</v>
      </c>
      <c r="GP38" t="e">
        <f>AND(#REF!,"AAAAAC57esU=")</f>
        <v>#REF!</v>
      </c>
      <c r="GQ38" t="e">
        <f>AND(#REF!,"AAAAAC57esY=")</f>
        <v>#REF!</v>
      </c>
      <c r="GR38" t="e">
        <f>AND(#REF!,"AAAAAC57esc=")</f>
        <v>#REF!</v>
      </c>
      <c r="GS38" t="e">
        <f>AND(#REF!,"AAAAAC57esg=")</f>
        <v>#REF!</v>
      </c>
      <c r="GT38" t="e">
        <f>AND(#REF!,"AAAAAC57esk=")</f>
        <v>#REF!</v>
      </c>
      <c r="GU38" t="e">
        <f>AND(#REF!,"AAAAAC57eso=")</f>
        <v>#REF!</v>
      </c>
      <c r="GV38" t="e">
        <f>AND(#REF!,"AAAAAC57ess=")</f>
        <v>#REF!</v>
      </c>
      <c r="GW38" t="e">
        <f>AND(#REF!,"AAAAAC57esw=")</f>
        <v>#REF!</v>
      </c>
      <c r="GX38" t="e">
        <f>AND(#REF!,"AAAAAC57es0=")</f>
        <v>#REF!</v>
      </c>
      <c r="GY38" t="e">
        <f>AND(#REF!,"AAAAAC57es4=")</f>
        <v>#REF!</v>
      </c>
      <c r="GZ38" t="e">
        <f>AND(#REF!,"AAAAAC57es8=")</f>
        <v>#REF!</v>
      </c>
      <c r="HA38" t="e">
        <f>AND(#REF!,"AAAAAC57etA=")</f>
        <v>#REF!</v>
      </c>
      <c r="HB38" t="e">
        <f>AND(#REF!,"AAAAAC57etE=")</f>
        <v>#REF!</v>
      </c>
      <c r="HC38" t="e">
        <f>AND(#REF!,"AAAAAC57etI=")</f>
        <v>#REF!</v>
      </c>
      <c r="HD38" t="e">
        <f>AND(#REF!,"AAAAAC57etM=")</f>
        <v>#REF!</v>
      </c>
      <c r="HE38" t="e">
        <f>AND(#REF!,"AAAAAC57etQ=")</f>
        <v>#REF!</v>
      </c>
      <c r="HF38" t="e">
        <f>AND(#REF!,"AAAAAC57etU=")</f>
        <v>#REF!</v>
      </c>
      <c r="HG38" t="e">
        <f>AND(#REF!,"AAAAAC57etY=")</f>
        <v>#REF!</v>
      </c>
      <c r="HH38" t="e">
        <f>IF(#REF!,"AAAAAC57etc=",0)</f>
        <v>#REF!</v>
      </c>
      <c r="HI38" t="e">
        <f>AND(#REF!,"AAAAAC57etg=")</f>
        <v>#REF!</v>
      </c>
      <c r="HJ38" t="e">
        <f>AND(#REF!,"AAAAAC57etk=")</f>
        <v>#REF!</v>
      </c>
      <c r="HK38" t="e">
        <f>AND(#REF!,"AAAAAC57eto=")</f>
        <v>#REF!</v>
      </c>
      <c r="HL38" t="e">
        <f>AND(#REF!,"AAAAAC57ets=")</f>
        <v>#REF!</v>
      </c>
      <c r="HM38" t="e">
        <f>AND(#REF!,"AAAAAC57etw=")</f>
        <v>#REF!</v>
      </c>
      <c r="HN38" t="e">
        <f>AND(#REF!,"AAAAAC57et0=")</f>
        <v>#REF!</v>
      </c>
      <c r="HO38" t="e">
        <f>AND(#REF!,"AAAAAC57et4=")</f>
        <v>#REF!</v>
      </c>
      <c r="HP38" t="e">
        <f>AND(#REF!,"AAAAAC57et8=")</f>
        <v>#REF!</v>
      </c>
      <c r="HQ38" t="e">
        <f>AND(#REF!,"AAAAAC57euA=")</f>
        <v>#REF!</v>
      </c>
      <c r="HR38" t="e">
        <f>AND(#REF!,"AAAAAC57euE=")</f>
        <v>#REF!</v>
      </c>
      <c r="HS38" t="e">
        <f>AND(#REF!,"AAAAAC57euI=")</f>
        <v>#REF!</v>
      </c>
      <c r="HT38" t="e">
        <f>AND(#REF!,"AAAAAC57euM=")</f>
        <v>#REF!</v>
      </c>
      <c r="HU38" t="e">
        <f>AND(#REF!,"AAAAAC57euQ=")</f>
        <v>#REF!</v>
      </c>
      <c r="HV38" t="e">
        <f>AND(#REF!,"AAAAAC57euU=")</f>
        <v>#REF!</v>
      </c>
      <c r="HW38" t="e">
        <f>AND(#REF!,"AAAAAC57euY=")</f>
        <v>#REF!</v>
      </c>
      <c r="HX38" t="e">
        <f>AND(#REF!,"AAAAAC57euc=")</f>
        <v>#REF!</v>
      </c>
      <c r="HY38" t="e">
        <f>AND(#REF!,"AAAAAC57eug=")</f>
        <v>#REF!</v>
      </c>
      <c r="HZ38" t="e">
        <f>AND(#REF!,"AAAAAC57euk=")</f>
        <v>#REF!</v>
      </c>
      <c r="IA38" t="e">
        <f>AND(#REF!,"AAAAAC57euo=")</f>
        <v>#REF!</v>
      </c>
      <c r="IB38" t="e">
        <f>AND(#REF!,"AAAAAC57eus=")</f>
        <v>#REF!</v>
      </c>
      <c r="IC38" t="e">
        <f>AND(#REF!,"AAAAAC57euw=")</f>
        <v>#REF!</v>
      </c>
      <c r="ID38" t="e">
        <f>AND(#REF!,"AAAAAC57eu0=")</f>
        <v>#REF!</v>
      </c>
      <c r="IE38" t="e">
        <f>AND(#REF!,"AAAAAC57eu4=")</f>
        <v>#REF!</v>
      </c>
      <c r="IF38" t="e">
        <f>AND(#REF!,"AAAAAC57eu8=")</f>
        <v>#REF!</v>
      </c>
      <c r="IG38" t="e">
        <f>AND(#REF!,"AAAAAC57evA=")</f>
        <v>#REF!</v>
      </c>
      <c r="IH38" t="e">
        <f>AND(#REF!,"AAAAAC57evE=")</f>
        <v>#REF!</v>
      </c>
      <c r="II38" t="e">
        <f>IF(#REF!,"AAAAAC57evI=",0)</f>
        <v>#REF!</v>
      </c>
      <c r="IJ38" t="e">
        <f>AND(#REF!,"AAAAAC57evM=")</f>
        <v>#REF!</v>
      </c>
      <c r="IK38" t="e">
        <f>AND(#REF!,"AAAAAC57evQ=")</f>
        <v>#REF!</v>
      </c>
      <c r="IL38" t="e">
        <f>AND(#REF!,"AAAAAC57evU=")</f>
        <v>#REF!</v>
      </c>
      <c r="IM38" t="e">
        <f>AND(#REF!,"AAAAAC57evY=")</f>
        <v>#REF!</v>
      </c>
      <c r="IN38" t="e">
        <f>AND(#REF!,"AAAAAC57evc=")</f>
        <v>#REF!</v>
      </c>
      <c r="IO38" t="e">
        <f>AND(#REF!,"AAAAAC57evg=")</f>
        <v>#REF!</v>
      </c>
      <c r="IP38" t="e">
        <f>AND(#REF!,"AAAAAC57evk=")</f>
        <v>#REF!</v>
      </c>
      <c r="IQ38" t="e">
        <f>AND(#REF!,"AAAAAC57evo=")</f>
        <v>#REF!</v>
      </c>
      <c r="IR38" t="e">
        <f>AND(#REF!,"AAAAAC57evs=")</f>
        <v>#REF!</v>
      </c>
      <c r="IS38" t="e">
        <f>AND(#REF!,"AAAAAC57evw=")</f>
        <v>#REF!</v>
      </c>
      <c r="IT38" t="e">
        <f>AND(#REF!,"AAAAAC57ev0=")</f>
        <v>#REF!</v>
      </c>
      <c r="IU38" t="e">
        <f>AND(#REF!,"AAAAAC57ev4=")</f>
        <v>#REF!</v>
      </c>
      <c r="IV38" t="e">
        <f>AND(#REF!,"AAAAAC57ev8=")</f>
        <v>#REF!</v>
      </c>
    </row>
    <row r="39" spans="1:256" x14ac:dyDescent="0.2">
      <c r="A39" t="e">
        <f>AND(#REF!,"AAAAAHb/4QA=")</f>
        <v>#REF!</v>
      </c>
      <c r="B39" t="e">
        <f>AND(#REF!,"AAAAAHb/4QE=")</f>
        <v>#REF!</v>
      </c>
      <c r="C39" t="e">
        <f>AND(#REF!,"AAAAAHb/4QI=")</f>
        <v>#REF!</v>
      </c>
      <c r="D39" t="e">
        <f>AND(#REF!,"AAAAAHb/4QM=")</f>
        <v>#REF!</v>
      </c>
      <c r="E39" t="e">
        <f>AND(#REF!,"AAAAAHb/4QQ=")</f>
        <v>#REF!</v>
      </c>
      <c r="F39" t="e">
        <f>AND(#REF!,"AAAAAHb/4QU=")</f>
        <v>#REF!</v>
      </c>
      <c r="G39" t="e">
        <f>AND(#REF!,"AAAAAHb/4QY=")</f>
        <v>#REF!</v>
      </c>
      <c r="H39" t="e">
        <f>AND(#REF!,"AAAAAHb/4Qc=")</f>
        <v>#REF!</v>
      </c>
      <c r="I39" t="e">
        <f>AND(#REF!,"AAAAAHb/4Qg=")</f>
        <v>#REF!</v>
      </c>
      <c r="J39" t="e">
        <f>AND(#REF!,"AAAAAHb/4Qk=")</f>
        <v>#REF!</v>
      </c>
      <c r="K39" t="e">
        <f>AND(#REF!,"AAAAAHb/4Qo=")</f>
        <v>#REF!</v>
      </c>
      <c r="L39" t="e">
        <f>AND(#REF!,"AAAAAHb/4Qs=")</f>
        <v>#REF!</v>
      </c>
      <c r="M39" t="e">
        <f>AND(#REF!,"AAAAAHb/4Qw=")</f>
        <v>#REF!</v>
      </c>
      <c r="N39" t="e">
        <f>IF(#REF!,"AAAAAHb/4Q0=",0)</f>
        <v>#REF!</v>
      </c>
      <c r="O39" t="e">
        <f>AND(#REF!,"AAAAAHb/4Q4=")</f>
        <v>#REF!</v>
      </c>
      <c r="P39" t="e">
        <f>AND(#REF!,"AAAAAHb/4Q8=")</f>
        <v>#REF!</v>
      </c>
      <c r="Q39" t="e">
        <f>AND(#REF!,"AAAAAHb/4RA=")</f>
        <v>#REF!</v>
      </c>
      <c r="R39" t="e">
        <f>AND(#REF!,"AAAAAHb/4RE=")</f>
        <v>#REF!</v>
      </c>
      <c r="S39" t="e">
        <f>AND(#REF!,"AAAAAHb/4RI=")</f>
        <v>#REF!</v>
      </c>
      <c r="T39" t="e">
        <f>AND(#REF!,"AAAAAHb/4RM=")</f>
        <v>#REF!</v>
      </c>
      <c r="U39" t="e">
        <f>AND(#REF!,"AAAAAHb/4RQ=")</f>
        <v>#REF!</v>
      </c>
      <c r="V39" t="e">
        <f>AND(#REF!,"AAAAAHb/4RU=")</f>
        <v>#REF!</v>
      </c>
      <c r="W39" t="e">
        <f>AND(#REF!,"AAAAAHb/4RY=")</f>
        <v>#REF!</v>
      </c>
      <c r="X39" t="e">
        <f>AND(#REF!,"AAAAAHb/4Rc=")</f>
        <v>#REF!</v>
      </c>
      <c r="Y39" t="e">
        <f>AND(#REF!,"AAAAAHb/4Rg=")</f>
        <v>#REF!</v>
      </c>
      <c r="Z39" t="e">
        <f>AND(#REF!,"AAAAAHb/4Rk=")</f>
        <v>#REF!</v>
      </c>
      <c r="AA39" t="e">
        <f>AND(#REF!,"AAAAAHb/4Ro=")</f>
        <v>#REF!</v>
      </c>
      <c r="AB39" t="e">
        <f>AND(#REF!,"AAAAAHb/4Rs=")</f>
        <v>#REF!</v>
      </c>
      <c r="AC39" t="e">
        <f>AND(#REF!,"AAAAAHb/4Rw=")</f>
        <v>#REF!</v>
      </c>
      <c r="AD39" t="e">
        <f>AND(#REF!,"AAAAAHb/4R0=")</f>
        <v>#REF!</v>
      </c>
      <c r="AE39" t="e">
        <f>AND(#REF!,"AAAAAHb/4R4=")</f>
        <v>#REF!</v>
      </c>
      <c r="AF39" t="e">
        <f>AND(#REF!,"AAAAAHb/4R8=")</f>
        <v>#REF!</v>
      </c>
      <c r="AG39" t="e">
        <f>AND(#REF!,"AAAAAHb/4SA=")</f>
        <v>#REF!</v>
      </c>
      <c r="AH39" t="e">
        <f>AND(#REF!,"AAAAAHb/4SE=")</f>
        <v>#REF!</v>
      </c>
      <c r="AI39" t="e">
        <f>AND(#REF!,"AAAAAHb/4SI=")</f>
        <v>#REF!</v>
      </c>
      <c r="AJ39" t="e">
        <f>AND(#REF!,"AAAAAHb/4SM=")</f>
        <v>#REF!</v>
      </c>
      <c r="AK39" t="e">
        <f>AND(#REF!,"AAAAAHb/4SQ=")</f>
        <v>#REF!</v>
      </c>
      <c r="AL39" t="e">
        <f>AND(#REF!,"AAAAAHb/4SU=")</f>
        <v>#REF!</v>
      </c>
      <c r="AM39" t="e">
        <f>AND(#REF!,"AAAAAHb/4SY=")</f>
        <v>#REF!</v>
      </c>
      <c r="AN39" t="e">
        <f>AND(#REF!,"AAAAAHb/4Sc=")</f>
        <v>#REF!</v>
      </c>
      <c r="AO39" t="e">
        <f>IF(#REF!,"AAAAAHb/4Sg=",0)</f>
        <v>#REF!</v>
      </c>
      <c r="AP39" t="e">
        <f>AND(#REF!,"AAAAAHb/4Sk=")</f>
        <v>#REF!</v>
      </c>
      <c r="AQ39" t="e">
        <f>AND(#REF!,"AAAAAHb/4So=")</f>
        <v>#REF!</v>
      </c>
      <c r="AR39" t="e">
        <f>AND(#REF!,"AAAAAHb/4Ss=")</f>
        <v>#REF!</v>
      </c>
      <c r="AS39" t="e">
        <f>AND(#REF!,"AAAAAHb/4Sw=")</f>
        <v>#REF!</v>
      </c>
      <c r="AT39" t="e">
        <f>AND(#REF!,"AAAAAHb/4S0=")</f>
        <v>#REF!</v>
      </c>
      <c r="AU39" t="e">
        <f>AND(#REF!,"AAAAAHb/4S4=")</f>
        <v>#REF!</v>
      </c>
      <c r="AV39" t="e">
        <f>AND(#REF!,"AAAAAHb/4S8=")</f>
        <v>#REF!</v>
      </c>
      <c r="AW39" t="e">
        <f>AND(#REF!,"AAAAAHb/4TA=")</f>
        <v>#REF!</v>
      </c>
      <c r="AX39" t="e">
        <f>AND(#REF!,"AAAAAHb/4TE=")</f>
        <v>#REF!</v>
      </c>
      <c r="AY39" t="e">
        <f>AND(#REF!,"AAAAAHb/4TI=")</f>
        <v>#REF!</v>
      </c>
      <c r="AZ39" t="e">
        <f>AND(#REF!,"AAAAAHb/4TM=")</f>
        <v>#REF!</v>
      </c>
      <c r="BA39" t="e">
        <f>AND(#REF!,"AAAAAHb/4TQ=")</f>
        <v>#REF!</v>
      </c>
      <c r="BB39" t="e">
        <f>AND(#REF!,"AAAAAHb/4TU=")</f>
        <v>#REF!</v>
      </c>
      <c r="BC39" t="e">
        <f>AND(#REF!,"AAAAAHb/4TY=")</f>
        <v>#REF!</v>
      </c>
      <c r="BD39" t="e">
        <f>AND(#REF!,"AAAAAHb/4Tc=")</f>
        <v>#REF!</v>
      </c>
      <c r="BE39" t="e">
        <f>AND(#REF!,"AAAAAHb/4Tg=")</f>
        <v>#REF!</v>
      </c>
      <c r="BF39" t="e">
        <f>AND(#REF!,"AAAAAHb/4Tk=")</f>
        <v>#REF!</v>
      </c>
      <c r="BG39" t="e">
        <f>AND(#REF!,"AAAAAHb/4To=")</f>
        <v>#REF!</v>
      </c>
      <c r="BH39" t="e">
        <f>AND(#REF!,"AAAAAHb/4Ts=")</f>
        <v>#REF!</v>
      </c>
      <c r="BI39" t="e">
        <f>AND(#REF!,"AAAAAHb/4Tw=")</f>
        <v>#REF!</v>
      </c>
      <c r="BJ39" t="e">
        <f>AND(#REF!,"AAAAAHb/4T0=")</f>
        <v>#REF!</v>
      </c>
      <c r="BK39" t="e">
        <f>AND(#REF!,"AAAAAHb/4T4=")</f>
        <v>#REF!</v>
      </c>
      <c r="BL39" t="e">
        <f>AND(#REF!,"AAAAAHb/4T8=")</f>
        <v>#REF!</v>
      </c>
      <c r="BM39" t="e">
        <f>AND(#REF!,"AAAAAHb/4UA=")</f>
        <v>#REF!</v>
      </c>
      <c r="BN39" t="e">
        <f>AND(#REF!,"AAAAAHb/4UE=")</f>
        <v>#REF!</v>
      </c>
      <c r="BO39" t="e">
        <f>AND(#REF!,"AAAAAHb/4UI=")</f>
        <v>#REF!</v>
      </c>
      <c r="BP39" t="e">
        <f>IF(#REF!,"AAAAAHb/4UM=",0)</f>
        <v>#REF!</v>
      </c>
      <c r="BQ39" t="e">
        <f>IF(#REF!,"AAAAAHb/4UQ=",0)</f>
        <v>#REF!</v>
      </c>
      <c r="BR39" t="e">
        <f>IF(#REF!,"AAAAAHb/4UU=",0)</f>
        <v>#REF!</v>
      </c>
      <c r="BS39" t="e">
        <f>IF(#REF!,"AAAAAHb/4UY=",0)</f>
        <v>#REF!</v>
      </c>
      <c r="BT39" t="e">
        <f>IF(#REF!,"AAAAAHb/4Uc=",0)</f>
        <v>#REF!</v>
      </c>
      <c r="BU39" t="e">
        <f>IF(#REF!,"AAAAAHb/4Ug=",0)</f>
        <v>#REF!</v>
      </c>
      <c r="BV39" t="e">
        <f>IF(#REF!,"AAAAAHb/4Uk=",0)</f>
        <v>#REF!</v>
      </c>
      <c r="BW39" t="e">
        <f>IF(#REF!,"AAAAAHb/4Uo=",0)</f>
        <v>#REF!</v>
      </c>
      <c r="BX39" t="e">
        <f>IF(#REF!,"AAAAAHb/4Us=",0)</f>
        <v>#REF!</v>
      </c>
      <c r="BY39" t="e">
        <f>IF(#REF!,"AAAAAHb/4Uw=",0)</f>
        <v>#REF!</v>
      </c>
      <c r="BZ39" t="e">
        <f>IF(#REF!,"AAAAAHb/4U0=",0)</f>
        <v>#REF!</v>
      </c>
      <c r="CA39" t="e">
        <f>IF(#REF!,"AAAAAHb/4U4=",0)</f>
        <v>#REF!</v>
      </c>
      <c r="CB39" t="e">
        <f>IF(#REF!,"AAAAAHb/4U8=",0)</f>
        <v>#REF!</v>
      </c>
      <c r="CC39" t="e">
        <f>IF(#REF!,"AAAAAHb/4VA=",0)</f>
        <v>#REF!</v>
      </c>
      <c r="CD39" t="e">
        <f>IF(#REF!,"AAAAAHb/4VE=",0)</f>
        <v>#REF!</v>
      </c>
      <c r="CE39" t="e">
        <f>IF(#REF!,"AAAAAHb/4VI=",0)</f>
        <v>#REF!</v>
      </c>
      <c r="CF39" t="e">
        <f>IF(#REF!,"AAAAAHb/4VM=",0)</f>
        <v>#REF!</v>
      </c>
      <c r="CG39" t="e">
        <f>IF(#REF!,"AAAAAHb/4VQ=",0)</f>
        <v>#REF!</v>
      </c>
      <c r="CH39" t="e">
        <f>IF(#REF!,"AAAAAHb/4VU=",0)</f>
        <v>#REF!</v>
      </c>
      <c r="CI39" t="e">
        <f>IF(#REF!,"AAAAAHb/4VY=",0)</f>
        <v>#REF!</v>
      </c>
      <c r="CJ39" t="e">
        <f>IF(#REF!,"AAAAAHb/4Vc=",0)</f>
        <v>#REF!</v>
      </c>
      <c r="CK39" t="e">
        <f>IF(#REF!,"AAAAAHb/4Vg=",0)</f>
        <v>#REF!</v>
      </c>
      <c r="CL39" t="e">
        <f>IF(#REF!,"AAAAAHb/4Vk=",0)</f>
        <v>#REF!</v>
      </c>
      <c r="CM39" t="e">
        <f>IF(#REF!,"AAAAAHb/4Vo=",0)</f>
        <v>#REF!</v>
      </c>
      <c r="CN39" t="e">
        <f>IF(#REF!,"AAAAAHb/4Vs=",0)</f>
        <v>#REF!</v>
      </c>
      <c r="CO39" t="e">
        <f>IF(#REF!,"AAAAAHb/4Vw=",0)</f>
        <v>#REF!</v>
      </c>
      <c r="CP39" t="e">
        <f>IF(#REF!,"AAAAAHb/4V0=",0)</f>
        <v>#REF!</v>
      </c>
      <c r="CQ39" t="e">
        <f>AND(#REF!,"AAAAAHb/4V4=")</f>
        <v>#REF!</v>
      </c>
      <c r="CR39" t="e">
        <f>AND(#REF!,"AAAAAHb/4V8=")</f>
        <v>#REF!</v>
      </c>
      <c r="CS39" t="e">
        <f>AND(#REF!,"AAAAAHb/4WA=")</f>
        <v>#REF!</v>
      </c>
      <c r="CT39" t="e">
        <f>AND(#REF!,"AAAAAHb/4WE=")</f>
        <v>#REF!</v>
      </c>
      <c r="CU39" t="e">
        <f>AND(#REF!,"AAAAAHb/4WI=")</f>
        <v>#REF!</v>
      </c>
      <c r="CV39" t="e">
        <f>AND(#REF!,"AAAAAHb/4WM=")</f>
        <v>#REF!</v>
      </c>
      <c r="CW39" t="e">
        <f>AND(#REF!,"AAAAAHb/4WQ=")</f>
        <v>#REF!</v>
      </c>
      <c r="CX39" t="e">
        <f>AND(#REF!,"AAAAAHb/4WU=")</f>
        <v>#REF!</v>
      </c>
      <c r="CY39" t="e">
        <f>AND(#REF!,"AAAAAHb/4WY=")</f>
        <v>#REF!</v>
      </c>
      <c r="CZ39" t="e">
        <f>AND(#REF!,"AAAAAHb/4Wc=")</f>
        <v>#REF!</v>
      </c>
      <c r="DA39" t="e">
        <f>AND(#REF!,"AAAAAHb/4Wg=")</f>
        <v>#REF!</v>
      </c>
      <c r="DB39" t="e">
        <f>AND(#REF!,"AAAAAHb/4Wk=")</f>
        <v>#REF!</v>
      </c>
      <c r="DC39" t="e">
        <f>AND(#REF!,"AAAAAHb/4Wo=")</f>
        <v>#REF!</v>
      </c>
      <c r="DD39" t="e">
        <f>AND(#REF!,"AAAAAHb/4Ws=")</f>
        <v>#REF!</v>
      </c>
      <c r="DE39" t="e">
        <f>AND(#REF!,"AAAAAHb/4Ww=")</f>
        <v>#REF!</v>
      </c>
      <c r="DF39" t="e">
        <f>AND(#REF!,"AAAAAHb/4W0=")</f>
        <v>#REF!</v>
      </c>
      <c r="DG39" t="e">
        <f>AND(#REF!,"AAAAAHb/4W4=")</f>
        <v>#REF!</v>
      </c>
      <c r="DH39" t="e">
        <f>AND(#REF!,"AAAAAHb/4W8=")</f>
        <v>#REF!</v>
      </c>
      <c r="DI39" t="e">
        <f>AND(#REF!,"AAAAAHb/4XA=")</f>
        <v>#REF!</v>
      </c>
      <c r="DJ39" t="e">
        <f>AND(#REF!,"AAAAAHb/4XE=")</f>
        <v>#REF!</v>
      </c>
      <c r="DK39" t="e">
        <f>AND(#REF!,"AAAAAHb/4XI=")</f>
        <v>#REF!</v>
      </c>
      <c r="DL39" t="e">
        <f>AND(#REF!,"AAAAAHb/4XM=")</f>
        <v>#REF!</v>
      </c>
      <c r="DM39" t="e">
        <f>AND(#REF!,"AAAAAHb/4XQ=")</f>
        <v>#REF!</v>
      </c>
      <c r="DN39" t="e">
        <f>AND(#REF!,"AAAAAHb/4XU=")</f>
        <v>#REF!</v>
      </c>
      <c r="DO39" t="e">
        <f>AND(#REF!,"AAAAAHb/4XY=")</f>
        <v>#REF!</v>
      </c>
      <c r="DP39" t="e">
        <f>AND(#REF!,"AAAAAHb/4Xc=")</f>
        <v>#REF!</v>
      </c>
      <c r="DQ39" t="e">
        <f>IF(#REF!,"AAAAAHb/4Xg=",0)</f>
        <v>#REF!</v>
      </c>
      <c r="DR39" t="e">
        <f>AND(#REF!,"AAAAAHb/4Xk=")</f>
        <v>#REF!</v>
      </c>
      <c r="DS39" t="e">
        <f>AND(#REF!,"AAAAAHb/4Xo=")</f>
        <v>#REF!</v>
      </c>
      <c r="DT39" t="e">
        <f>AND(#REF!,"AAAAAHb/4Xs=")</f>
        <v>#REF!</v>
      </c>
      <c r="DU39" t="e">
        <f>AND(#REF!,"AAAAAHb/4Xw=")</f>
        <v>#REF!</v>
      </c>
      <c r="DV39" t="e">
        <f>AND(#REF!,"AAAAAHb/4X0=")</f>
        <v>#REF!</v>
      </c>
      <c r="DW39" t="e">
        <f>AND(#REF!,"AAAAAHb/4X4=")</f>
        <v>#REF!</v>
      </c>
      <c r="DX39" t="e">
        <f>AND(#REF!,"AAAAAHb/4X8=")</f>
        <v>#REF!</v>
      </c>
      <c r="DY39" t="e">
        <f>AND(#REF!,"AAAAAHb/4YA=")</f>
        <v>#REF!</v>
      </c>
      <c r="DZ39" t="e">
        <f>AND(#REF!,"AAAAAHb/4YE=")</f>
        <v>#REF!</v>
      </c>
      <c r="EA39" t="e">
        <f>AND(#REF!,"AAAAAHb/4YI=")</f>
        <v>#REF!</v>
      </c>
      <c r="EB39" t="e">
        <f>AND(#REF!,"AAAAAHb/4YM=")</f>
        <v>#REF!</v>
      </c>
      <c r="EC39" t="e">
        <f>AND(#REF!,"AAAAAHb/4YQ=")</f>
        <v>#REF!</v>
      </c>
      <c r="ED39" t="e">
        <f>AND(#REF!,"AAAAAHb/4YU=")</f>
        <v>#REF!</v>
      </c>
      <c r="EE39" t="e">
        <f>AND(#REF!,"AAAAAHb/4YY=")</f>
        <v>#REF!</v>
      </c>
      <c r="EF39" t="e">
        <f>AND(#REF!,"AAAAAHb/4Yc=")</f>
        <v>#REF!</v>
      </c>
      <c r="EG39" t="e">
        <f>AND(#REF!,"AAAAAHb/4Yg=")</f>
        <v>#REF!</v>
      </c>
      <c r="EH39" t="e">
        <f>AND(#REF!,"AAAAAHb/4Yk=")</f>
        <v>#REF!</v>
      </c>
      <c r="EI39" t="e">
        <f>AND(#REF!,"AAAAAHb/4Yo=")</f>
        <v>#REF!</v>
      </c>
      <c r="EJ39" t="e">
        <f>AND(#REF!,"AAAAAHb/4Ys=")</f>
        <v>#REF!</v>
      </c>
      <c r="EK39" t="e">
        <f>AND(#REF!,"AAAAAHb/4Yw=")</f>
        <v>#REF!</v>
      </c>
      <c r="EL39" t="e">
        <f>AND(#REF!,"AAAAAHb/4Y0=")</f>
        <v>#REF!</v>
      </c>
      <c r="EM39" t="e">
        <f>AND(#REF!,"AAAAAHb/4Y4=")</f>
        <v>#REF!</v>
      </c>
      <c r="EN39" t="e">
        <f>AND(#REF!,"AAAAAHb/4Y8=")</f>
        <v>#REF!</v>
      </c>
      <c r="EO39" t="e">
        <f>AND(#REF!,"AAAAAHb/4ZA=")</f>
        <v>#REF!</v>
      </c>
      <c r="EP39" t="e">
        <f>AND(#REF!,"AAAAAHb/4ZE=")</f>
        <v>#REF!</v>
      </c>
      <c r="EQ39" t="e">
        <f>AND(#REF!,"AAAAAHb/4ZI=")</f>
        <v>#REF!</v>
      </c>
      <c r="ER39" t="e">
        <f>IF(#REF!,"AAAAAHb/4ZM=",0)</f>
        <v>#REF!</v>
      </c>
      <c r="ES39" t="e">
        <f>AND(#REF!,"AAAAAHb/4ZQ=")</f>
        <v>#REF!</v>
      </c>
      <c r="ET39" t="e">
        <f>AND(#REF!,"AAAAAHb/4ZU=")</f>
        <v>#REF!</v>
      </c>
      <c r="EU39" t="e">
        <f>AND(#REF!,"AAAAAHb/4ZY=")</f>
        <v>#REF!</v>
      </c>
      <c r="EV39" t="e">
        <f>AND(#REF!,"AAAAAHb/4Zc=")</f>
        <v>#REF!</v>
      </c>
      <c r="EW39" t="e">
        <f>AND(#REF!,"AAAAAHb/4Zg=")</f>
        <v>#REF!</v>
      </c>
      <c r="EX39" t="e">
        <f>AND(#REF!,"AAAAAHb/4Zk=")</f>
        <v>#REF!</v>
      </c>
      <c r="EY39" t="e">
        <f>AND(#REF!,"AAAAAHb/4Zo=")</f>
        <v>#REF!</v>
      </c>
      <c r="EZ39" t="e">
        <f>AND(#REF!,"AAAAAHb/4Zs=")</f>
        <v>#REF!</v>
      </c>
      <c r="FA39" t="e">
        <f>AND(#REF!,"AAAAAHb/4Zw=")</f>
        <v>#REF!</v>
      </c>
      <c r="FB39" t="e">
        <f>AND(#REF!,"AAAAAHb/4Z0=")</f>
        <v>#REF!</v>
      </c>
      <c r="FC39" t="e">
        <f>AND(#REF!,"AAAAAHb/4Z4=")</f>
        <v>#REF!</v>
      </c>
      <c r="FD39" t="e">
        <f>AND(#REF!,"AAAAAHb/4Z8=")</f>
        <v>#REF!</v>
      </c>
      <c r="FE39" t="e">
        <f>AND(#REF!,"AAAAAHb/4aA=")</f>
        <v>#REF!</v>
      </c>
      <c r="FF39" t="e">
        <f>AND(#REF!,"AAAAAHb/4aE=")</f>
        <v>#REF!</v>
      </c>
      <c r="FG39" t="e">
        <f>AND(#REF!,"AAAAAHb/4aI=")</f>
        <v>#REF!</v>
      </c>
      <c r="FH39" t="e">
        <f>AND(#REF!,"AAAAAHb/4aM=")</f>
        <v>#REF!</v>
      </c>
      <c r="FI39" t="e">
        <f>AND(#REF!,"AAAAAHb/4aQ=")</f>
        <v>#REF!</v>
      </c>
      <c r="FJ39" t="e">
        <f>AND(#REF!,"AAAAAHb/4aU=")</f>
        <v>#REF!</v>
      </c>
      <c r="FK39" t="e">
        <f>AND(#REF!,"AAAAAHb/4aY=")</f>
        <v>#REF!</v>
      </c>
      <c r="FL39" t="e">
        <f>AND(#REF!,"AAAAAHb/4ac=")</f>
        <v>#REF!</v>
      </c>
      <c r="FM39" t="e">
        <f>AND(#REF!,"AAAAAHb/4ag=")</f>
        <v>#REF!</v>
      </c>
      <c r="FN39" t="e">
        <f>AND(#REF!,"AAAAAHb/4ak=")</f>
        <v>#REF!</v>
      </c>
      <c r="FO39" t="e">
        <f>AND(#REF!,"AAAAAHb/4ao=")</f>
        <v>#REF!</v>
      </c>
      <c r="FP39" t="e">
        <f>AND(#REF!,"AAAAAHb/4as=")</f>
        <v>#REF!</v>
      </c>
      <c r="FQ39" t="e">
        <f>AND(#REF!,"AAAAAHb/4aw=")</f>
        <v>#REF!</v>
      </c>
      <c r="FR39" t="e">
        <f>AND(#REF!,"AAAAAHb/4a0=")</f>
        <v>#REF!</v>
      </c>
      <c r="FS39" t="e">
        <f>IF(#REF!,"AAAAAHb/4a4=",0)</f>
        <v>#REF!</v>
      </c>
      <c r="FT39" t="e">
        <f>AND(#REF!,"AAAAAHb/4a8=")</f>
        <v>#REF!</v>
      </c>
      <c r="FU39" t="e">
        <f>AND(#REF!,"AAAAAHb/4bA=")</f>
        <v>#REF!</v>
      </c>
      <c r="FV39" t="e">
        <f>AND(#REF!,"AAAAAHb/4bE=")</f>
        <v>#REF!</v>
      </c>
      <c r="FW39" t="e">
        <f>AND(#REF!,"AAAAAHb/4bI=")</f>
        <v>#REF!</v>
      </c>
      <c r="FX39" t="e">
        <f>AND(#REF!,"AAAAAHb/4bM=")</f>
        <v>#REF!</v>
      </c>
      <c r="FY39" t="e">
        <f>AND(#REF!,"AAAAAHb/4bQ=")</f>
        <v>#REF!</v>
      </c>
      <c r="FZ39" t="e">
        <f>AND(#REF!,"AAAAAHb/4bU=")</f>
        <v>#REF!</v>
      </c>
      <c r="GA39" t="e">
        <f>AND(#REF!,"AAAAAHb/4bY=")</f>
        <v>#REF!</v>
      </c>
      <c r="GB39" t="e">
        <f>AND(#REF!,"AAAAAHb/4bc=")</f>
        <v>#REF!</v>
      </c>
      <c r="GC39" t="e">
        <f>AND(#REF!,"AAAAAHb/4bg=")</f>
        <v>#REF!</v>
      </c>
      <c r="GD39" t="e">
        <f>AND(#REF!,"AAAAAHb/4bk=")</f>
        <v>#REF!</v>
      </c>
      <c r="GE39" t="e">
        <f>AND(#REF!,"AAAAAHb/4bo=")</f>
        <v>#REF!</v>
      </c>
      <c r="GF39" t="e">
        <f>AND(#REF!,"AAAAAHb/4bs=")</f>
        <v>#REF!</v>
      </c>
      <c r="GG39" t="e">
        <f>AND(#REF!,"AAAAAHb/4bw=")</f>
        <v>#REF!</v>
      </c>
      <c r="GH39" t="e">
        <f>AND(#REF!,"AAAAAHb/4b0=")</f>
        <v>#REF!</v>
      </c>
      <c r="GI39" t="e">
        <f>AND(#REF!,"AAAAAHb/4b4=")</f>
        <v>#REF!</v>
      </c>
      <c r="GJ39" t="e">
        <f>AND(#REF!,"AAAAAHb/4b8=")</f>
        <v>#REF!</v>
      </c>
      <c r="GK39" t="e">
        <f>AND(#REF!,"AAAAAHb/4cA=")</f>
        <v>#REF!</v>
      </c>
      <c r="GL39" t="e">
        <f>AND(#REF!,"AAAAAHb/4cE=")</f>
        <v>#REF!</v>
      </c>
      <c r="GM39" t="e">
        <f>AND(#REF!,"AAAAAHb/4cI=")</f>
        <v>#REF!</v>
      </c>
      <c r="GN39" t="e">
        <f>AND(#REF!,"AAAAAHb/4cM=")</f>
        <v>#REF!</v>
      </c>
      <c r="GO39" t="e">
        <f>AND(#REF!,"AAAAAHb/4cQ=")</f>
        <v>#REF!</v>
      </c>
      <c r="GP39" t="e">
        <f>AND(#REF!,"AAAAAHb/4cU=")</f>
        <v>#REF!</v>
      </c>
      <c r="GQ39" t="e">
        <f>AND(#REF!,"AAAAAHb/4cY=")</f>
        <v>#REF!</v>
      </c>
      <c r="GR39" t="e">
        <f>AND(#REF!,"AAAAAHb/4cc=")</f>
        <v>#REF!</v>
      </c>
      <c r="GS39" t="e">
        <f>AND(#REF!,"AAAAAHb/4cg=")</f>
        <v>#REF!</v>
      </c>
      <c r="GT39" t="e">
        <f>IF(#REF!,"AAAAAHb/4ck=",0)</f>
        <v>#REF!</v>
      </c>
      <c r="GU39" t="e">
        <f>AND(#REF!,"AAAAAHb/4co=")</f>
        <v>#REF!</v>
      </c>
      <c r="GV39" t="e">
        <f>AND(#REF!,"AAAAAHb/4cs=")</f>
        <v>#REF!</v>
      </c>
      <c r="GW39" t="e">
        <f>AND(#REF!,"AAAAAHb/4cw=")</f>
        <v>#REF!</v>
      </c>
      <c r="GX39" t="e">
        <f>AND(#REF!,"AAAAAHb/4c0=")</f>
        <v>#REF!</v>
      </c>
      <c r="GY39" t="e">
        <f>AND(#REF!,"AAAAAHb/4c4=")</f>
        <v>#REF!</v>
      </c>
      <c r="GZ39" t="e">
        <f>AND(#REF!,"AAAAAHb/4c8=")</f>
        <v>#REF!</v>
      </c>
      <c r="HA39" t="e">
        <f>AND(#REF!,"AAAAAHb/4dA=")</f>
        <v>#REF!</v>
      </c>
      <c r="HB39" t="e">
        <f>AND(#REF!,"AAAAAHb/4dE=")</f>
        <v>#REF!</v>
      </c>
      <c r="HC39" t="e">
        <f>AND(#REF!,"AAAAAHb/4dI=")</f>
        <v>#REF!</v>
      </c>
      <c r="HD39" t="e">
        <f>AND(#REF!,"AAAAAHb/4dM=")</f>
        <v>#REF!</v>
      </c>
      <c r="HE39" t="e">
        <f>AND(#REF!,"AAAAAHb/4dQ=")</f>
        <v>#REF!</v>
      </c>
      <c r="HF39" t="e">
        <f>AND(#REF!,"AAAAAHb/4dU=")</f>
        <v>#REF!</v>
      </c>
      <c r="HG39" t="e">
        <f>AND(#REF!,"AAAAAHb/4dY=")</f>
        <v>#REF!</v>
      </c>
      <c r="HH39" t="e">
        <f>AND(#REF!,"AAAAAHb/4dc=")</f>
        <v>#REF!</v>
      </c>
      <c r="HI39" t="e">
        <f>AND(#REF!,"AAAAAHb/4dg=")</f>
        <v>#REF!</v>
      </c>
      <c r="HJ39" t="e">
        <f>AND(#REF!,"AAAAAHb/4dk=")</f>
        <v>#REF!</v>
      </c>
      <c r="HK39" t="e">
        <f>AND(#REF!,"AAAAAHb/4do=")</f>
        <v>#REF!</v>
      </c>
      <c r="HL39" t="e">
        <f>AND(#REF!,"AAAAAHb/4ds=")</f>
        <v>#REF!</v>
      </c>
      <c r="HM39" t="e">
        <f>AND(#REF!,"AAAAAHb/4dw=")</f>
        <v>#REF!</v>
      </c>
      <c r="HN39" t="e">
        <f>AND(#REF!,"AAAAAHb/4d0=")</f>
        <v>#REF!</v>
      </c>
      <c r="HO39" t="e">
        <f>AND(#REF!,"AAAAAHb/4d4=")</f>
        <v>#REF!</v>
      </c>
      <c r="HP39" t="e">
        <f>AND(#REF!,"AAAAAHb/4d8=")</f>
        <v>#REF!</v>
      </c>
      <c r="HQ39" t="e">
        <f>AND(#REF!,"AAAAAHb/4eA=")</f>
        <v>#REF!</v>
      </c>
      <c r="HR39" t="e">
        <f>AND(#REF!,"AAAAAHb/4eE=")</f>
        <v>#REF!</v>
      </c>
      <c r="HS39" t="e">
        <f>AND(#REF!,"AAAAAHb/4eI=")</f>
        <v>#REF!</v>
      </c>
      <c r="HT39" t="e">
        <f>AND(#REF!,"AAAAAHb/4eM=")</f>
        <v>#REF!</v>
      </c>
      <c r="HU39" t="e">
        <f>IF(#REF!,"AAAAAHb/4eQ=",0)</f>
        <v>#REF!</v>
      </c>
      <c r="HV39" t="e">
        <f>AND(#REF!,"AAAAAHb/4eU=")</f>
        <v>#REF!</v>
      </c>
      <c r="HW39" t="e">
        <f>AND(#REF!,"AAAAAHb/4eY=")</f>
        <v>#REF!</v>
      </c>
      <c r="HX39" t="e">
        <f>AND(#REF!,"AAAAAHb/4ec=")</f>
        <v>#REF!</v>
      </c>
      <c r="HY39" t="e">
        <f>AND(#REF!,"AAAAAHb/4eg=")</f>
        <v>#REF!</v>
      </c>
      <c r="HZ39" t="e">
        <f>AND(#REF!,"AAAAAHb/4ek=")</f>
        <v>#REF!</v>
      </c>
      <c r="IA39" t="e">
        <f>AND(#REF!,"AAAAAHb/4eo=")</f>
        <v>#REF!</v>
      </c>
      <c r="IB39" t="e">
        <f>AND(#REF!,"AAAAAHb/4es=")</f>
        <v>#REF!</v>
      </c>
      <c r="IC39" t="e">
        <f>AND(#REF!,"AAAAAHb/4ew=")</f>
        <v>#REF!</v>
      </c>
      <c r="ID39" t="e">
        <f>AND(#REF!,"AAAAAHb/4e0=")</f>
        <v>#REF!</v>
      </c>
      <c r="IE39" t="e">
        <f>AND(#REF!,"AAAAAHb/4e4=")</f>
        <v>#REF!</v>
      </c>
      <c r="IF39" t="e">
        <f>AND(#REF!,"AAAAAHb/4e8=")</f>
        <v>#REF!</v>
      </c>
      <c r="IG39" t="e">
        <f>AND(#REF!,"AAAAAHb/4fA=")</f>
        <v>#REF!</v>
      </c>
      <c r="IH39" t="e">
        <f>AND(#REF!,"AAAAAHb/4fE=")</f>
        <v>#REF!</v>
      </c>
      <c r="II39" t="e">
        <f>AND(#REF!,"AAAAAHb/4fI=")</f>
        <v>#REF!</v>
      </c>
      <c r="IJ39" t="e">
        <f>AND(#REF!,"AAAAAHb/4fM=")</f>
        <v>#REF!</v>
      </c>
      <c r="IK39" t="e">
        <f>AND(#REF!,"AAAAAHb/4fQ=")</f>
        <v>#REF!</v>
      </c>
      <c r="IL39" t="e">
        <f>AND(#REF!,"AAAAAHb/4fU=")</f>
        <v>#REF!</v>
      </c>
      <c r="IM39" t="e">
        <f>AND(#REF!,"AAAAAHb/4fY=")</f>
        <v>#REF!</v>
      </c>
      <c r="IN39" t="e">
        <f>AND(#REF!,"AAAAAHb/4fc=")</f>
        <v>#REF!</v>
      </c>
      <c r="IO39" t="e">
        <f>AND(#REF!,"AAAAAHb/4fg=")</f>
        <v>#REF!</v>
      </c>
      <c r="IP39" t="e">
        <f>AND(#REF!,"AAAAAHb/4fk=")</f>
        <v>#REF!</v>
      </c>
      <c r="IQ39" t="e">
        <f>AND(#REF!,"AAAAAHb/4fo=")</f>
        <v>#REF!</v>
      </c>
      <c r="IR39" t="e">
        <f>AND(#REF!,"AAAAAHb/4fs=")</f>
        <v>#REF!</v>
      </c>
      <c r="IS39" t="e">
        <f>AND(#REF!,"AAAAAHb/4fw=")</f>
        <v>#REF!</v>
      </c>
      <c r="IT39" t="e">
        <f>AND(#REF!,"AAAAAHb/4f0=")</f>
        <v>#REF!</v>
      </c>
      <c r="IU39" t="e">
        <f>AND(#REF!,"AAAAAHb/4f4=")</f>
        <v>#REF!</v>
      </c>
      <c r="IV39" t="e">
        <f>IF(#REF!,"AAAAAHb/4f8=",0)</f>
        <v>#REF!</v>
      </c>
    </row>
    <row r="40" spans="1:256" x14ac:dyDescent="0.2">
      <c r="A40" t="e">
        <f>AND(#REF!,"AAAAAHef7QA=")</f>
        <v>#REF!</v>
      </c>
      <c r="B40" t="e">
        <f>AND(#REF!,"AAAAAHef7QE=")</f>
        <v>#REF!</v>
      </c>
      <c r="C40" t="e">
        <f>AND(#REF!,"AAAAAHef7QI=")</f>
        <v>#REF!</v>
      </c>
      <c r="D40" t="e">
        <f>AND(#REF!,"AAAAAHef7QM=")</f>
        <v>#REF!</v>
      </c>
      <c r="E40" t="e">
        <f>AND(#REF!,"AAAAAHef7QQ=")</f>
        <v>#REF!</v>
      </c>
      <c r="F40" t="e">
        <f>AND(#REF!,"AAAAAHef7QU=")</f>
        <v>#REF!</v>
      </c>
      <c r="G40" t="e">
        <f>AND(#REF!,"AAAAAHef7QY=")</f>
        <v>#REF!</v>
      </c>
      <c r="H40" t="e">
        <f>AND(#REF!,"AAAAAHef7Qc=")</f>
        <v>#REF!</v>
      </c>
      <c r="I40" t="e">
        <f>AND(#REF!,"AAAAAHef7Qg=")</f>
        <v>#REF!</v>
      </c>
      <c r="J40" t="e">
        <f>AND(#REF!,"AAAAAHef7Qk=")</f>
        <v>#REF!</v>
      </c>
      <c r="K40" t="e">
        <f>AND(#REF!,"AAAAAHef7Qo=")</f>
        <v>#REF!</v>
      </c>
      <c r="L40" t="e">
        <f>AND(#REF!,"AAAAAHef7Qs=")</f>
        <v>#REF!</v>
      </c>
      <c r="M40" t="e">
        <f>AND(#REF!,"AAAAAHef7Qw=")</f>
        <v>#REF!</v>
      </c>
      <c r="N40" t="e">
        <f>AND(#REF!,"AAAAAHef7Q0=")</f>
        <v>#REF!</v>
      </c>
      <c r="O40" t="e">
        <f>AND(#REF!,"AAAAAHef7Q4=")</f>
        <v>#REF!</v>
      </c>
      <c r="P40" t="e">
        <f>AND(#REF!,"AAAAAHef7Q8=")</f>
        <v>#REF!</v>
      </c>
      <c r="Q40" t="e">
        <f>AND(#REF!,"AAAAAHef7RA=")</f>
        <v>#REF!</v>
      </c>
      <c r="R40" t="e">
        <f>AND(#REF!,"AAAAAHef7RE=")</f>
        <v>#REF!</v>
      </c>
      <c r="S40" t="e">
        <f>AND(#REF!,"AAAAAHef7RI=")</f>
        <v>#REF!</v>
      </c>
      <c r="T40" t="e">
        <f>AND(#REF!,"AAAAAHef7RM=")</f>
        <v>#REF!</v>
      </c>
      <c r="U40" t="e">
        <f>AND(#REF!,"AAAAAHef7RQ=")</f>
        <v>#REF!</v>
      </c>
      <c r="V40" t="e">
        <f>AND(#REF!,"AAAAAHef7RU=")</f>
        <v>#REF!</v>
      </c>
      <c r="W40" t="e">
        <f>AND(#REF!,"AAAAAHef7RY=")</f>
        <v>#REF!</v>
      </c>
      <c r="X40" t="e">
        <f>AND(#REF!,"AAAAAHef7Rc=")</f>
        <v>#REF!</v>
      </c>
      <c r="Y40" t="e">
        <f>AND(#REF!,"AAAAAHef7Rg=")</f>
        <v>#REF!</v>
      </c>
      <c r="Z40" t="e">
        <f>AND(#REF!,"AAAAAHef7Rk=")</f>
        <v>#REF!</v>
      </c>
      <c r="AA40" t="e">
        <f>IF(#REF!,"AAAAAHef7Ro=",0)</f>
        <v>#REF!</v>
      </c>
      <c r="AB40" t="e">
        <f>AND(#REF!,"AAAAAHef7Rs=")</f>
        <v>#REF!</v>
      </c>
      <c r="AC40" t="e">
        <f>AND(#REF!,"AAAAAHef7Rw=")</f>
        <v>#REF!</v>
      </c>
      <c r="AD40" t="e">
        <f>AND(#REF!,"AAAAAHef7R0=")</f>
        <v>#REF!</v>
      </c>
      <c r="AE40" t="e">
        <f>AND(#REF!,"AAAAAHef7R4=")</f>
        <v>#REF!</v>
      </c>
      <c r="AF40" t="e">
        <f>AND(#REF!,"AAAAAHef7R8=")</f>
        <v>#REF!</v>
      </c>
      <c r="AG40" t="e">
        <f>AND(#REF!,"AAAAAHef7SA=")</f>
        <v>#REF!</v>
      </c>
      <c r="AH40" t="e">
        <f>AND(#REF!,"AAAAAHef7SE=")</f>
        <v>#REF!</v>
      </c>
      <c r="AI40" t="e">
        <f>AND(#REF!,"AAAAAHef7SI=")</f>
        <v>#REF!</v>
      </c>
      <c r="AJ40" t="e">
        <f>AND(#REF!,"AAAAAHef7SM=")</f>
        <v>#REF!</v>
      </c>
      <c r="AK40" t="e">
        <f>AND(#REF!,"AAAAAHef7SQ=")</f>
        <v>#REF!</v>
      </c>
      <c r="AL40" t="e">
        <f>AND(#REF!,"AAAAAHef7SU=")</f>
        <v>#REF!</v>
      </c>
      <c r="AM40" t="e">
        <f>AND(#REF!,"AAAAAHef7SY=")</f>
        <v>#REF!</v>
      </c>
      <c r="AN40" t="e">
        <f>AND(#REF!,"AAAAAHef7Sc=")</f>
        <v>#REF!</v>
      </c>
      <c r="AO40" t="e">
        <f>AND(#REF!,"AAAAAHef7Sg=")</f>
        <v>#REF!</v>
      </c>
      <c r="AP40" t="e">
        <f>AND(#REF!,"AAAAAHef7Sk=")</f>
        <v>#REF!</v>
      </c>
      <c r="AQ40" t="e">
        <f>AND(#REF!,"AAAAAHef7So=")</f>
        <v>#REF!</v>
      </c>
      <c r="AR40" t="e">
        <f>AND(#REF!,"AAAAAHef7Ss=")</f>
        <v>#REF!</v>
      </c>
      <c r="AS40" t="e">
        <f>AND(#REF!,"AAAAAHef7Sw=")</f>
        <v>#REF!</v>
      </c>
      <c r="AT40" t="e">
        <f>AND(#REF!,"AAAAAHef7S0=")</f>
        <v>#REF!</v>
      </c>
      <c r="AU40" t="e">
        <f>AND(#REF!,"AAAAAHef7S4=")</f>
        <v>#REF!</v>
      </c>
      <c r="AV40" t="e">
        <f>AND(#REF!,"AAAAAHef7S8=")</f>
        <v>#REF!</v>
      </c>
      <c r="AW40" t="e">
        <f>AND(#REF!,"AAAAAHef7TA=")</f>
        <v>#REF!</v>
      </c>
      <c r="AX40" t="e">
        <f>AND(#REF!,"AAAAAHef7TE=")</f>
        <v>#REF!</v>
      </c>
      <c r="AY40" t="e">
        <f>AND(#REF!,"AAAAAHef7TI=")</f>
        <v>#REF!</v>
      </c>
      <c r="AZ40" t="e">
        <f>AND(#REF!,"AAAAAHef7TM=")</f>
        <v>#REF!</v>
      </c>
      <c r="BA40" t="e">
        <f>AND(#REF!,"AAAAAHef7TQ=")</f>
        <v>#REF!</v>
      </c>
      <c r="BB40" t="e">
        <f>IF(#REF!,"AAAAAHef7TU=",0)</f>
        <v>#REF!</v>
      </c>
      <c r="BC40" t="e">
        <f>AND(#REF!,"AAAAAHef7TY=")</f>
        <v>#REF!</v>
      </c>
      <c r="BD40" t="e">
        <f>AND(#REF!,"AAAAAHef7Tc=")</f>
        <v>#REF!</v>
      </c>
      <c r="BE40" t="e">
        <f>AND(#REF!,"AAAAAHef7Tg=")</f>
        <v>#REF!</v>
      </c>
      <c r="BF40" t="e">
        <f>AND(#REF!,"AAAAAHef7Tk=")</f>
        <v>#REF!</v>
      </c>
      <c r="BG40" t="e">
        <f>AND(#REF!,"AAAAAHef7To=")</f>
        <v>#REF!</v>
      </c>
      <c r="BH40" t="e">
        <f>AND(#REF!,"AAAAAHef7Ts=")</f>
        <v>#REF!</v>
      </c>
      <c r="BI40" t="e">
        <f>AND(#REF!,"AAAAAHef7Tw=")</f>
        <v>#REF!</v>
      </c>
      <c r="BJ40" t="e">
        <f>AND(#REF!,"AAAAAHef7T0=")</f>
        <v>#REF!</v>
      </c>
      <c r="BK40" t="e">
        <f>AND(#REF!,"AAAAAHef7T4=")</f>
        <v>#REF!</v>
      </c>
      <c r="BL40" t="e">
        <f>AND(#REF!,"AAAAAHef7T8=")</f>
        <v>#REF!</v>
      </c>
      <c r="BM40" t="e">
        <f>AND(#REF!,"AAAAAHef7UA=")</f>
        <v>#REF!</v>
      </c>
      <c r="BN40" t="e">
        <f>AND(#REF!,"AAAAAHef7UE=")</f>
        <v>#REF!</v>
      </c>
      <c r="BO40" t="e">
        <f>AND(#REF!,"AAAAAHef7UI=")</f>
        <v>#REF!</v>
      </c>
      <c r="BP40" t="e">
        <f>AND(#REF!,"AAAAAHef7UM=")</f>
        <v>#REF!</v>
      </c>
      <c r="BQ40" t="e">
        <f>AND(#REF!,"AAAAAHef7UQ=")</f>
        <v>#REF!</v>
      </c>
      <c r="BR40" t="e">
        <f>AND(#REF!,"AAAAAHef7UU=")</f>
        <v>#REF!</v>
      </c>
      <c r="BS40" t="e">
        <f>AND(#REF!,"AAAAAHef7UY=")</f>
        <v>#REF!</v>
      </c>
      <c r="BT40" t="e">
        <f>AND(#REF!,"AAAAAHef7Uc=")</f>
        <v>#REF!</v>
      </c>
      <c r="BU40" t="e">
        <f>AND(#REF!,"AAAAAHef7Ug=")</f>
        <v>#REF!</v>
      </c>
      <c r="BV40" t="e">
        <f>AND(#REF!,"AAAAAHef7Uk=")</f>
        <v>#REF!</v>
      </c>
      <c r="BW40" t="e">
        <f>AND(#REF!,"AAAAAHef7Uo=")</f>
        <v>#REF!</v>
      </c>
      <c r="BX40" t="e">
        <f>AND(#REF!,"AAAAAHef7Us=")</f>
        <v>#REF!</v>
      </c>
      <c r="BY40" t="e">
        <f>AND(#REF!,"AAAAAHef7Uw=")</f>
        <v>#REF!</v>
      </c>
      <c r="BZ40" t="e">
        <f>AND(#REF!,"AAAAAHef7U0=")</f>
        <v>#REF!</v>
      </c>
      <c r="CA40" t="e">
        <f>AND(#REF!,"AAAAAHef7U4=")</f>
        <v>#REF!</v>
      </c>
      <c r="CB40" t="e">
        <f>AND(#REF!,"AAAAAHef7U8=")</f>
        <v>#REF!</v>
      </c>
      <c r="CC40" t="e">
        <f>IF(#REF!,"AAAAAHef7VA=",0)</f>
        <v>#REF!</v>
      </c>
      <c r="CD40" t="e">
        <f>AND(#REF!,"AAAAAHef7VE=")</f>
        <v>#REF!</v>
      </c>
      <c r="CE40" t="e">
        <f>AND(#REF!,"AAAAAHef7VI=")</f>
        <v>#REF!</v>
      </c>
      <c r="CF40" t="e">
        <f>AND(#REF!,"AAAAAHef7VM=")</f>
        <v>#REF!</v>
      </c>
      <c r="CG40" t="e">
        <f>AND(#REF!,"AAAAAHef7VQ=")</f>
        <v>#REF!</v>
      </c>
      <c r="CH40" t="e">
        <f>AND(#REF!,"AAAAAHef7VU=")</f>
        <v>#REF!</v>
      </c>
      <c r="CI40" t="e">
        <f>AND(#REF!,"AAAAAHef7VY=")</f>
        <v>#REF!</v>
      </c>
      <c r="CJ40" t="e">
        <f>AND(#REF!,"AAAAAHef7Vc=")</f>
        <v>#REF!</v>
      </c>
      <c r="CK40" t="e">
        <f>AND(#REF!,"AAAAAHef7Vg=")</f>
        <v>#REF!</v>
      </c>
      <c r="CL40" t="e">
        <f>AND(#REF!,"AAAAAHef7Vk=")</f>
        <v>#REF!</v>
      </c>
      <c r="CM40" t="e">
        <f>AND(#REF!,"AAAAAHef7Vo=")</f>
        <v>#REF!</v>
      </c>
      <c r="CN40" t="e">
        <f>AND(#REF!,"AAAAAHef7Vs=")</f>
        <v>#REF!</v>
      </c>
      <c r="CO40" t="e">
        <f>AND(#REF!,"AAAAAHef7Vw=")</f>
        <v>#REF!</v>
      </c>
      <c r="CP40" t="e">
        <f>AND(#REF!,"AAAAAHef7V0=")</f>
        <v>#REF!</v>
      </c>
      <c r="CQ40" t="e">
        <f>AND(#REF!,"AAAAAHef7V4=")</f>
        <v>#REF!</v>
      </c>
      <c r="CR40" t="e">
        <f>AND(#REF!,"AAAAAHef7V8=")</f>
        <v>#REF!</v>
      </c>
      <c r="CS40" t="e">
        <f>AND(#REF!,"AAAAAHef7WA=")</f>
        <v>#REF!</v>
      </c>
      <c r="CT40" t="e">
        <f>AND(#REF!,"AAAAAHef7WE=")</f>
        <v>#REF!</v>
      </c>
      <c r="CU40" t="e">
        <f>AND(#REF!,"AAAAAHef7WI=")</f>
        <v>#REF!</v>
      </c>
      <c r="CV40" t="e">
        <f>AND(#REF!,"AAAAAHef7WM=")</f>
        <v>#REF!</v>
      </c>
      <c r="CW40" t="e">
        <f>AND(#REF!,"AAAAAHef7WQ=")</f>
        <v>#REF!</v>
      </c>
      <c r="CX40" t="e">
        <f>AND(#REF!,"AAAAAHef7WU=")</f>
        <v>#REF!</v>
      </c>
      <c r="CY40" t="e">
        <f>AND(#REF!,"AAAAAHef7WY=")</f>
        <v>#REF!</v>
      </c>
      <c r="CZ40" t="e">
        <f>AND(#REF!,"AAAAAHef7Wc=")</f>
        <v>#REF!</v>
      </c>
      <c r="DA40" t="e">
        <f>AND(#REF!,"AAAAAHef7Wg=")</f>
        <v>#REF!</v>
      </c>
      <c r="DB40" t="e">
        <f>AND(#REF!,"AAAAAHef7Wk=")</f>
        <v>#REF!</v>
      </c>
      <c r="DC40" t="e">
        <f>AND(#REF!,"AAAAAHef7Wo=")</f>
        <v>#REF!</v>
      </c>
      <c r="DD40" t="e">
        <f>IF(#REF!,"AAAAAHef7Ws=",0)</f>
        <v>#REF!</v>
      </c>
      <c r="DE40" t="e">
        <f>AND(#REF!,"AAAAAHef7Ww=")</f>
        <v>#REF!</v>
      </c>
      <c r="DF40" t="e">
        <f>AND(#REF!,"AAAAAHef7W0=")</f>
        <v>#REF!</v>
      </c>
      <c r="DG40" t="e">
        <f>AND(#REF!,"AAAAAHef7W4=")</f>
        <v>#REF!</v>
      </c>
      <c r="DH40" t="e">
        <f>AND(#REF!,"AAAAAHef7W8=")</f>
        <v>#REF!</v>
      </c>
      <c r="DI40" t="e">
        <f>AND(#REF!,"AAAAAHef7XA=")</f>
        <v>#REF!</v>
      </c>
      <c r="DJ40" t="e">
        <f>AND(#REF!,"AAAAAHef7XE=")</f>
        <v>#REF!</v>
      </c>
      <c r="DK40" t="e">
        <f>AND(#REF!,"AAAAAHef7XI=")</f>
        <v>#REF!</v>
      </c>
      <c r="DL40" t="e">
        <f>AND(#REF!,"AAAAAHef7XM=")</f>
        <v>#REF!</v>
      </c>
      <c r="DM40" t="e">
        <f>AND(#REF!,"AAAAAHef7XQ=")</f>
        <v>#REF!</v>
      </c>
      <c r="DN40" t="e">
        <f>AND(#REF!,"AAAAAHef7XU=")</f>
        <v>#REF!</v>
      </c>
      <c r="DO40" t="e">
        <f>AND(#REF!,"AAAAAHef7XY=")</f>
        <v>#REF!</v>
      </c>
      <c r="DP40" t="e">
        <f>AND(#REF!,"AAAAAHef7Xc=")</f>
        <v>#REF!</v>
      </c>
      <c r="DQ40" t="e">
        <f>AND(#REF!,"AAAAAHef7Xg=")</f>
        <v>#REF!</v>
      </c>
      <c r="DR40" t="e">
        <f>AND(#REF!,"AAAAAHef7Xk=")</f>
        <v>#REF!</v>
      </c>
      <c r="DS40" t="e">
        <f>AND(#REF!,"AAAAAHef7Xo=")</f>
        <v>#REF!</v>
      </c>
      <c r="DT40" t="e">
        <f>AND(#REF!,"AAAAAHef7Xs=")</f>
        <v>#REF!</v>
      </c>
      <c r="DU40" t="e">
        <f>AND(#REF!,"AAAAAHef7Xw=")</f>
        <v>#REF!</v>
      </c>
      <c r="DV40" t="e">
        <f>AND(#REF!,"AAAAAHef7X0=")</f>
        <v>#REF!</v>
      </c>
      <c r="DW40" t="e">
        <f>AND(#REF!,"AAAAAHef7X4=")</f>
        <v>#REF!</v>
      </c>
      <c r="DX40" t="e">
        <f>AND(#REF!,"AAAAAHef7X8=")</f>
        <v>#REF!</v>
      </c>
      <c r="DY40" t="e">
        <f>AND(#REF!,"AAAAAHef7YA=")</f>
        <v>#REF!</v>
      </c>
      <c r="DZ40" t="e">
        <f>AND(#REF!,"AAAAAHef7YE=")</f>
        <v>#REF!</v>
      </c>
      <c r="EA40" t="e">
        <f>AND(#REF!,"AAAAAHef7YI=")</f>
        <v>#REF!</v>
      </c>
      <c r="EB40" t="e">
        <f>AND(#REF!,"AAAAAHef7YM=")</f>
        <v>#REF!</v>
      </c>
      <c r="EC40" t="e">
        <f>AND(#REF!,"AAAAAHef7YQ=")</f>
        <v>#REF!</v>
      </c>
      <c r="ED40" t="e">
        <f>AND(#REF!,"AAAAAHef7YU=")</f>
        <v>#REF!</v>
      </c>
      <c r="EE40" t="e">
        <f>IF(#REF!,"AAAAAHef7YY=",0)</f>
        <v>#REF!</v>
      </c>
      <c r="EF40" t="e">
        <f>AND(#REF!,"AAAAAHef7Yc=")</f>
        <v>#REF!</v>
      </c>
      <c r="EG40" t="e">
        <f>AND(#REF!,"AAAAAHef7Yg=")</f>
        <v>#REF!</v>
      </c>
      <c r="EH40" t="e">
        <f>AND(#REF!,"AAAAAHef7Yk=")</f>
        <v>#REF!</v>
      </c>
      <c r="EI40" t="e">
        <f>AND(#REF!,"AAAAAHef7Yo=")</f>
        <v>#REF!</v>
      </c>
      <c r="EJ40" t="e">
        <f>AND(#REF!,"AAAAAHef7Ys=")</f>
        <v>#REF!</v>
      </c>
      <c r="EK40" t="e">
        <f>AND(#REF!,"AAAAAHef7Yw=")</f>
        <v>#REF!</v>
      </c>
      <c r="EL40" t="e">
        <f>AND(#REF!,"AAAAAHef7Y0=")</f>
        <v>#REF!</v>
      </c>
      <c r="EM40" t="e">
        <f>AND(#REF!,"AAAAAHef7Y4=")</f>
        <v>#REF!</v>
      </c>
      <c r="EN40" t="e">
        <f>AND(#REF!,"AAAAAHef7Y8=")</f>
        <v>#REF!</v>
      </c>
      <c r="EO40" t="e">
        <f>AND(#REF!,"AAAAAHef7ZA=")</f>
        <v>#REF!</v>
      </c>
      <c r="EP40" t="e">
        <f>AND(#REF!,"AAAAAHef7ZE=")</f>
        <v>#REF!</v>
      </c>
      <c r="EQ40" t="e">
        <f>AND(#REF!,"AAAAAHef7ZI=")</f>
        <v>#REF!</v>
      </c>
      <c r="ER40" t="e">
        <f>AND(#REF!,"AAAAAHef7ZM=")</f>
        <v>#REF!</v>
      </c>
      <c r="ES40" t="e">
        <f>AND(#REF!,"AAAAAHef7ZQ=")</f>
        <v>#REF!</v>
      </c>
      <c r="ET40" t="e">
        <f>AND(#REF!,"AAAAAHef7ZU=")</f>
        <v>#REF!</v>
      </c>
      <c r="EU40" t="e">
        <f>AND(#REF!,"AAAAAHef7ZY=")</f>
        <v>#REF!</v>
      </c>
      <c r="EV40" t="e">
        <f>AND(#REF!,"AAAAAHef7Zc=")</f>
        <v>#REF!</v>
      </c>
      <c r="EW40" t="e">
        <f>AND(#REF!,"AAAAAHef7Zg=")</f>
        <v>#REF!</v>
      </c>
      <c r="EX40" t="e">
        <f>AND(#REF!,"AAAAAHef7Zk=")</f>
        <v>#REF!</v>
      </c>
      <c r="EY40" t="e">
        <f>AND(#REF!,"AAAAAHef7Zo=")</f>
        <v>#REF!</v>
      </c>
      <c r="EZ40" t="e">
        <f>AND(#REF!,"AAAAAHef7Zs=")</f>
        <v>#REF!</v>
      </c>
      <c r="FA40" t="e">
        <f>AND(#REF!,"AAAAAHef7Zw=")</f>
        <v>#REF!</v>
      </c>
      <c r="FB40" t="e">
        <f>AND(#REF!,"AAAAAHef7Z0=")</f>
        <v>#REF!</v>
      </c>
      <c r="FC40" t="e">
        <f>AND(#REF!,"AAAAAHef7Z4=")</f>
        <v>#REF!</v>
      </c>
      <c r="FD40" t="e">
        <f>AND(#REF!,"AAAAAHef7Z8=")</f>
        <v>#REF!</v>
      </c>
      <c r="FE40" t="e">
        <f>AND(#REF!,"AAAAAHef7aA=")</f>
        <v>#REF!</v>
      </c>
      <c r="FF40" t="e">
        <f>IF(#REF!,"AAAAAHef7aE=",0)</f>
        <v>#REF!</v>
      </c>
      <c r="FG40" t="e">
        <f>AND(#REF!,"AAAAAHef7aI=")</f>
        <v>#REF!</v>
      </c>
      <c r="FH40" t="e">
        <f>AND(#REF!,"AAAAAHef7aM=")</f>
        <v>#REF!</v>
      </c>
      <c r="FI40" t="e">
        <f>AND(#REF!,"AAAAAHef7aQ=")</f>
        <v>#REF!</v>
      </c>
      <c r="FJ40" t="e">
        <f>AND(#REF!,"AAAAAHef7aU=")</f>
        <v>#REF!</v>
      </c>
      <c r="FK40" t="e">
        <f>AND(#REF!,"AAAAAHef7aY=")</f>
        <v>#REF!</v>
      </c>
      <c r="FL40" t="e">
        <f>AND(#REF!,"AAAAAHef7ac=")</f>
        <v>#REF!</v>
      </c>
      <c r="FM40" t="e">
        <f>AND(#REF!,"AAAAAHef7ag=")</f>
        <v>#REF!</v>
      </c>
      <c r="FN40" t="e">
        <f>AND(#REF!,"AAAAAHef7ak=")</f>
        <v>#REF!</v>
      </c>
      <c r="FO40" t="e">
        <f>AND(#REF!,"AAAAAHef7ao=")</f>
        <v>#REF!</v>
      </c>
      <c r="FP40" t="e">
        <f>AND(#REF!,"AAAAAHef7as=")</f>
        <v>#REF!</v>
      </c>
      <c r="FQ40" t="e">
        <f>AND(#REF!,"AAAAAHef7aw=")</f>
        <v>#REF!</v>
      </c>
      <c r="FR40" t="e">
        <f>AND(#REF!,"AAAAAHef7a0=")</f>
        <v>#REF!</v>
      </c>
      <c r="FS40" t="e">
        <f>AND(#REF!,"AAAAAHef7a4=")</f>
        <v>#REF!</v>
      </c>
      <c r="FT40" t="e">
        <f>AND(#REF!,"AAAAAHef7a8=")</f>
        <v>#REF!</v>
      </c>
      <c r="FU40" t="e">
        <f>AND(#REF!,"AAAAAHef7bA=")</f>
        <v>#REF!</v>
      </c>
      <c r="FV40" t="e">
        <f>AND(#REF!,"AAAAAHef7bE=")</f>
        <v>#REF!</v>
      </c>
      <c r="FW40" t="e">
        <f>AND(#REF!,"AAAAAHef7bI=")</f>
        <v>#REF!</v>
      </c>
      <c r="FX40" t="e">
        <f>AND(#REF!,"AAAAAHef7bM=")</f>
        <v>#REF!</v>
      </c>
      <c r="FY40" t="e">
        <f>AND(#REF!,"AAAAAHef7bQ=")</f>
        <v>#REF!</v>
      </c>
      <c r="FZ40" t="e">
        <f>AND(#REF!,"AAAAAHef7bU=")</f>
        <v>#REF!</v>
      </c>
      <c r="GA40" t="e">
        <f>AND(#REF!,"AAAAAHef7bY=")</f>
        <v>#REF!</v>
      </c>
      <c r="GB40" t="e">
        <f>AND(#REF!,"AAAAAHef7bc=")</f>
        <v>#REF!</v>
      </c>
      <c r="GC40" t="e">
        <f>AND(#REF!,"AAAAAHef7bg=")</f>
        <v>#REF!</v>
      </c>
      <c r="GD40" t="e">
        <f>AND(#REF!,"AAAAAHef7bk=")</f>
        <v>#REF!</v>
      </c>
      <c r="GE40" t="e">
        <f>AND(#REF!,"AAAAAHef7bo=")</f>
        <v>#REF!</v>
      </c>
      <c r="GF40" t="e">
        <f>AND(#REF!,"AAAAAHef7bs=")</f>
        <v>#REF!</v>
      </c>
      <c r="GG40" t="e">
        <f>IF(#REF!,"AAAAAHef7bw=",0)</f>
        <v>#REF!</v>
      </c>
      <c r="GH40" t="e">
        <f>AND(#REF!,"AAAAAHef7b0=")</f>
        <v>#REF!</v>
      </c>
      <c r="GI40" t="e">
        <f>AND(#REF!,"AAAAAHef7b4=")</f>
        <v>#REF!</v>
      </c>
      <c r="GJ40" t="e">
        <f>AND(#REF!,"AAAAAHef7b8=")</f>
        <v>#REF!</v>
      </c>
      <c r="GK40" t="e">
        <f>AND(#REF!,"AAAAAHef7cA=")</f>
        <v>#REF!</v>
      </c>
      <c r="GL40" t="e">
        <f>AND(#REF!,"AAAAAHef7cE=")</f>
        <v>#REF!</v>
      </c>
      <c r="GM40" t="e">
        <f>AND(#REF!,"AAAAAHef7cI=")</f>
        <v>#REF!</v>
      </c>
      <c r="GN40" t="e">
        <f>AND(#REF!,"AAAAAHef7cM=")</f>
        <v>#REF!</v>
      </c>
      <c r="GO40" t="e">
        <f>AND(#REF!,"AAAAAHef7cQ=")</f>
        <v>#REF!</v>
      </c>
      <c r="GP40" t="e">
        <f>AND(#REF!,"AAAAAHef7cU=")</f>
        <v>#REF!</v>
      </c>
      <c r="GQ40" t="e">
        <f>AND(#REF!,"AAAAAHef7cY=")</f>
        <v>#REF!</v>
      </c>
      <c r="GR40" t="e">
        <f>AND(#REF!,"AAAAAHef7cc=")</f>
        <v>#REF!</v>
      </c>
      <c r="GS40" t="e">
        <f>AND(#REF!,"AAAAAHef7cg=")</f>
        <v>#REF!</v>
      </c>
      <c r="GT40" t="e">
        <f>AND(#REF!,"AAAAAHef7ck=")</f>
        <v>#REF!</v>
      </c>
      <c r="GU40" t="e">
        <f>AND(#REF!,"AAAAAHef7co=")</f>
        <v>#REF!</v>
      </c>
      <c r="GV40" t="e">
        <f>AND(#REF!,"AAAAAHef7cs=")</f>
        <v>#REF!</v>
      </c>
      <c r="GW40" t="e">
        <f>AND(#REF!,"AAAAAHef7cw=")</f>
        <v>#REF!</v>
      </c>
      <c r="GX40" t="e">
        <f>AND(#REF!,"AAAAAHef7c0=")</f>
        <v>#REF!</v>
      </c>
      <c r="GY40" t="e">
        <f>AND(#REF!,"AAAAAHef7c4=")</f>
        <v>#REF!</v>
      </c>
      <c r="GZ40" t="e">
        <f>AND(#REF!,"AAAAAHef7c8=")</f>
        <v>#REF!</v>
      </c>
      <c r="HA40" t="e">
        <f>AND(#REF!,"AAAAAHef7dA=")</f>
        <v>#REF!</v>
      </c>
      <c r="HB40" t="e">
        <f>AND(#REF!,"AAAAAHef7dE=")</f>
        <v>#REF!</v>
      </c>
      <c r="HC40" t="e">
        <f>AND(#REF!,"AAAAAHef7dI=")</f>
        <v>#REF!</v>
      </c>
      <c r="HD40" t="e">
        <f>AND(#REF!,"AAAAAHef7dM=")</f>
        <v>#REF!</v>
      </c>
      <c r="HE40" t="e">
        <f>AND(#REF!,"AAAAAHef7dQ=")</f>
        <v>#REF!</v>
      </c>
      <c r="HF40" t="e">
        <f>AND(#REF!,"AAAAAHef7dU=")</f>
        <v>#REF!</v>
      </c>
      <c r="HG40" t="e">
        <f>AND(#REF!,"AAAAAHef7dY=")</f>
        <v>#REF!</v>
      </c>
      <c r="HH40" t="e">
        <f>IF(#REF!,"AAAAAHef7dc=",0)</f>
        <v>#REF!</v>
      </c>
      <c r="HI40" t="e">
        <f>AND(#REF!,"AAAAAHef7dg=")</f>
        <v>#REF!</v>
      </c>
      <c r="HJ40" t="e">
        <f>AND(#REF!,"AAAAAHef7dk=")</f>
        <v>#REF!</v>
      </c>
      <c r="HK40" t="e">
        <f>AND(#REF!,"AAAAAHef7do=")</f>
        <v>#REF!</v>
      </c>
      <c r="HL40" t="e">
        <f>AND(#REF!,"AAAAAHef7ds=")</f>
        <v>#REF!</v>
      </c>
      <c r="HM40" t="e">
        <f>AND(#REF!,"AAAAAHef7dw=")</f>
        <v>#REF!</v>
      </c>
      <c r="HN40" t="e">
        <f>AND(#REF!,"AAAAAHef7d0=")</f>
        <v>#REF!</v>
      </c>
      <c r="HO40" t="e">
        <f>AND(#REF!,"AAAAAHef7d4=")</f>
        <v>#REF!</v>
      </c>
      <c r="HP40" t="e">
        <f>AND(#REF!,"AAAAAHef7d8=")</f>
        <v>#REF!</v>
      </c>
      <c r="HQ40" t="e">
        <f>AND(#REF!,"AAAAAHef7eA=")</f>
        <v>#REF!</v>
      </c>
      <c r="HR40" t="e">
        <f>AND(#REF!,"AAAAAHef7eE=")</f>
        <v>#REF!</v>
      </c>
      <c r="HS40" t="e">
        <f>AND(#REF!,"AAAAAHef7eI=")</f>
        <v>#REF!</v>
      </c>
      <c r="HT40" t="e">
        <f>AND(#REF!,"AAAAAHef7eM=")</f>
        <v>#REF!</v>
      </c>
      <c r="HU40" t="e">
        <f>AND(#REF!,"AAAAAHef7eQ=")</f>
        <v>#REF!</v>
      </c>
      <c r="HV40" t="e">
        <f>AND(#REF!,"AAAAAHef7eU=")</f>
        <v>#REF!</v>
      </c>
      <c r="HW40" t="e">
        <f>AND(#REF!,"AAAAAHef7eY=")</f>
        <v>#REF!</v>
      </c>
      <c r="HX40" t="e">
        <f>AND(#REF!,"AAAAAHef7ec=")</f>
        <v>#REF!</v>
      </c>
      <c r="HY40" t="e">
        <f>AND(#REF!,"AAAAAHef7eg=")</f>
        <v>#REF!</v>
      </c>
      <c r="HZ40" t="e">
        <f>AND(#REF!,"AAAAAHef7ek=")</f>
        <v>#REF!</v>
      </c>
      <c r="IA40" t="e">
        <f>AND(#REF!,"AAAAAHef7eo=")</f>
        <v>#REF!</v>
      </c>
      <c r="IB40" t="e">
        <f>AND(#REF!,"AAAAAHef7es=")</f>
        <v>#REF!</v>
      </c>
      <c r="IC40" t="e">
        <f>AND(#REF!,"AAAAAHef7ew=")</f>
        <v>#REF!</v>
      </c>
      <c r="ID40" t="e">
        <f>AND(#REF!,"AAAAAHef7e0=")</f>
        <v>#REF!</v>
      </c>
      <c r="IE40" t="e">
        <f>AND(#REF!,"AAAAAHef7e4=")</f>
        <v>#REF!</v>
      </c>
      <c r="IF40" t="e">
        <f>AND(#REF!,"AAAAAHef7e8=")</f>
        <v>#REF!</v>
      </c>
      <c r="IG40" t="e">
        <f>AND(#REF!,"AAAAAHef7fA=")</f>
        <v>#REF!</v>
      </c>
      <c r="IH40" t="e">
        <f>AND(#REF!,"AAAAAHef7fE=")</f>
        <v>#REF!</v>
      </c>
      <c r="II40" t="e">
        <f>IF(#REF!,"AAAAAHef7fI=",0)</f>
        <v>#REF!</v>
      </c>
      <c r="IJ40" t="e">
        <f>AND(#REF!,"AAAAAHef7fM=")</f>
        <v>#REF!</v>
      </c>
      <c r="IK40" t="e">
        <f>AND(#REF!,"AAAAAHef7fQ=")</f>
        <v>#REF!</v>
      </c>
      <c r="IL40" t="e">
        <f>AND(#REF!,"AAAAAHef7fU=")</f>
        <v>#REF!</v>
      </c>
      <c r="IM40" t="e">
        <f>AND(#REF!,"AAAAAHef7fY=")</f>
        <v>#REF!</v>
      </c>
      <c r="IN40" t="e">
        <f>AND(#REF!,"AAAAAHef7fc=")</f>
        <v>#REF!</v>
      </c>
      <c r="IO40" t="e">
        <f>AND(#REF!,"AAAAAHef7fg=")</f>
        <v>#REF!</v>
      </c>
      <c r="IP40" t="e">
        <f>AND(#REF!,"AAAAAHef7fk=")</f>
        <v>#REF!</v>
      </c>
      <c r="IQ40" t="e">
        <f>AND(#REF!,"AAAAAHef7fo=")</f>
        <v>#REF!</v>
      </c>
      <c r="IR40" t="e">
        <f>AND(#REF!,"AAAAAHef7fs=")</f>
        <v>#REF!</v>
      </c>
      <c r="IS40" t="e">
        <f>AND(#REF!,"AAAAAHef7fw=")</f>
        <v>#REF!</v>
      </c>
      <c r="IT40" t="e">
        <f>AND(#REF!,"AAAAAHef7f0=")</f>
        <v>#REF!</v>
      </c>
      <c r="IU40" t="e">
        <f>AND(#REF!,"AAAAAHef7f4=")</f>
        <v>#REF!</v>
      </c>
      <c r="IV40" t="e">
        <f>AND(#REF!,"AAAAAHef7f8=")</f>
        <v>#REF!</v>
      </c>
    </row>
    <row r="41" spans="1:256" x14ac:dyDescent="0.2">
      <c r="A41" t="e">
        <f>AND(#REF!,"AAAAAH/+LwA=")</f>
        <v>#REF!</v>
      </c>
      <c r="B41" t="e">
        <f>AND(#REF!,"AAAAAH/+LwE=")</f>
        <v>#REF!</v>
      </c>
      <c r="C41" t="e">
        <f>AND(#REF!,"AAAAAH/+LwI=")</f>
        <v>#REF!</v>
      </c>
      <c r="D41" t="e">
        <f>AND(#REF!,"AAAAAH/+LwM=")</f>
        <v>#REF!</v>
      </c>
      <c r="E41" t="e">
        <f>AND(#REF!,"AAAAAH/+LwQ=")</f>
        <v>#REF!</v>
      </c>
      <c r="F41" t="e">
        <f>AND(#REF!,"AAAAAH/+LwU=")</f>
        <v>#REF!</v>
      </c>
      <c r="G41" t="e">
        <f>AND(#REF!,"AAAAAH/+LwY=")</f>
        <v>#REF!</v>
      </c>
      <c r="H41" t="e">
        <f>AND(#REF!,"AAAAAH/+Lwc=")</f>
        <v>#REF!</v>
      </c>
      <c r="I41" t="e">
        <f>AND(#REF!,"AAAAAH/+Lwg=")</f>
        <v>#REF!</v>
      </c>
      <c r="J41" t="e">
        <f>AND(#REF!,"AAAAAH/+Lwk=")</f>
        <v>#REF!</v>
      </c>
      <c r="K41" t="e">
        <f>AND(#REF!,"AAAAAH/+Lwo=")</f>
        <v>#REF!</v>
      </c>
      <c r="L41" t="e">
        <f>AND(#REF!,"AAAAAH/+Lws=")</f>
        <v>#REF!</v>
      </c>
      <c r="M41" t="e">
        <f>AND(#REF!,"AAAAAH/+Lww=")</f>
        <v>#REF!</v>
      </c>
      <c r="N41" t="e">
        <f>IF(#REF!,"AAAAAH/+Lw0=",0)</f>
        <v>#REF!</v>
      </c>
      <c r="O41" t="e">
        <f>AND(#REF!,"AAAAAH/+Lw4=")</f>
        <v>#REF!</v>
      </c>
      <c r="P41" t="e">
        <f>AND(#REF!,"AAAAAH/+Lw8=")</f>
        <v>#REF!</v>
      </c>
      <c r="Q41" t="e">
        <f>AND(#REF!,"AAAAAH/+LxA=")</f>
        <v>#REF!</v>
      </c>
      <c r="R41" t="e">
        <f>AND(#REF!,"AAAAAH/+LxE=")</f>
        <v>#REF!</v>
      </c>
      <c r="S41" t="e">
        <f>AND(#REF!,"AAAAAH/+LxI=")</f>
        <v>#REF!</v>
      </c>
      <c r="T41" t="e">
        <f>AND(#REF!,"AAAAAH/+LxM=")</f>
        <v>#REF!</v>
      </c>
      <c r="U41" t="e">
        <f>AND(#REF!,"AAAAAH/+LxQ=")</f>
        <v>#REF!</v>
      </c>
      <c r="V41" t="e">
        <f>AND(#REF!,"AAAAAH/+LxU=")</f>
        <v>#REF!</v>
      </c>
      <c r="W41" t="e">
        <f>AND(#REF!,"AAAAAH/+LxY=")</f>
        <v>#REF!</v>
      </c>
      <c r="X41" t="e">
        <f>AND(#REF!,"AAAAAH/+Lxc=")</f>
        <v>#REF!</v>
      </c>
      <c r="Y41" t="e">
        <f>AND(#REF!,"AAAAAH/+Lxg=")</f>
        <v>#REF!</v>
      </c>
      <c r="Z41" t="e">
        <f>AND(#REF!,"AAAAAH/+Lxk=")</f>
        <v>#REF!</v>
      </c>
      <c r="AA41" t="e">
        <f>AND(#REF!,"AAAAAH/+Lxo=")</f>
        <v>#REF!</v>
      </c>
      <c r="AB41" t="e">
        <f>AND(#REF!,"AAAAAH/+Lxs=")</f>
        <v>#REF!</v>
      </c>
      <c r="AC41" t="e">
        <f>AND(#REF!,"AAAAAH/+Lxw=")</f>
        <v>#REF!</v>
      </c>
      <c r="AD41" t="e">
        <f>AND(#REF!,"AAAAAH/+Lx0=")</f>
        <v>#REF!</v>
      </c>
      <c r="AE41" t="e">
        <f>AND(#REF!,"AAAAAH/+Lx4=")</f>
        <v>#REF!</v>
      </c>
      <c r="AF41" t="e">
        <f>AND(#REF!,"AAAAAH/+Lx8=")</f>
        <v>#REF!</v>
      </c>
      <c r="AG41" t="e">
        <f>AND(#REF!,"AAAAAH/+LyA=")</f>
        <v>#REF!</v>
      </c>
      <c r="AH41" t="e">
        <f>AND(#REF!,"AAAAAH/+LyE=")</f>
        <v>#REF!</v>
      </c>
      <c r="AI41" t="e">
        <f>AND(#REF!,"AAAAAH/+LyI=")</f>
        <v>#REF!</v>
      </c>
      <c r="AJ41" t="e">
        <f>AND(#REF!,"AAAAAH/+LyM=")</f>
        <v>#REF!</v>
      </c>
      <c r="AK41" t="e">
        <f>AND(#REF!,"AAAAAH/+LyQ=")</f>
        <v>#REF!</v>
      </c>
      <c r="AL41" t="e">
        <f>AND(#REF!,"AAAAAH/+LyU=")</f>
        <v>#REF!</v>
      </c>
      <c r="AM41" t="e">
        <f>AND(#REF!,"AAAAAH/+LyY=")</f>
        <v>#REF!</v>
      </c>
      <c r="AN41" t="e">
        <f>AND(#REF!,"AAAAAH/+Lyc=")</f>
        <v>#REF!</v>
      </c>
      <c r="AO41" t="e">
        <f>IF(#REF!,"AAAAAH/+Lyg=",0)</f>
        <v>#REF!</v>
      </c>
      <c r="AP41" t="e">
        <f>AND(#REF!,"AAAAAH/+Lyk=")</f>
        <v>#REF!</v>
      </c>
      <c r="AQ41" t="e">
        <f>AND(#REF!,"AAAAAH/+Lyo=")</f>
        <v>#REF!</v>
      </c>
      <c r="AR41" t="e">
        <f>AND(#REF!,"AAAAAH/+Lys=")</f>
        <v>#REF!</v>
      </c>
      <c r="AS41" t="e">
        <f>AND(#REF!,"AAAAAH/+Lyw=")</f>
        <v>#REF!</v>
      </c>
      <c r="AT41" t="e">
        <f>AND(#REF!,"AAAAAH/+Ly0=")</f>
        <v>#REF!</v>
      </c>
      <c r="AU41" t="e">
        <f>AND(#REF!,"AAAAAH/+Ly4=")</f>
        <v>#REF!</v>
      </c>
      <c r="AV41" t="e">
        <f>AND(#REF!,"AAAAAH/+Ly8=")</f>
        <v>#REF!</v>
      </c>
      <c r="AW41" t="e">
        <f>AND(#REF!,"AAAAAH/+LzA=")</f>
        <v>#REF!</v>
      </c>
      <c r="AX41" t="e">
        <f>AND(#REF!,"AAAAAH/+LzE=")</f>
        <v>#REF!</v>
      </c>
      <c r="AY41" t="e">
        <f>AND(#REF!,"AAAAAH/+LzI=")</f>
        <v>#REF!</v>
      </c>
      <c r="AZ41" t="e">
        <f>AND(#REF!,"AAAAAH/+LzM=")</f>
        <v>#REF!</v>
      </c>
      <c r="BA41" t="e">
        <f>AND(#REF!,"AAAAAH/+LzQ=")</f>
        <v>#REF!</v>
      </c>
      <c r="BB41" t="e">
        <f>AND(#REF!,"AAAAAH/+LzU=")</f>
        <v>#REF!</v>
      </c>
      <c r="BC41" t="e">
        <f>AND(#REF!,"AAAAAH/+LzY=")</f>
        <v>#REF!</v>
      </c>
      <c r="BD41" t="e">
        <f>AND(#REF!,"AAAAAH/+Lzc=")</f>
        <v>#REF!</v>
      </c>
      <c r="BE41" t="e">
        <f>AND(#REF!,"AAAAAH/+Lzg=")</f>
        <v>#REF!</v>
      </c>
      <c r="BF41" t="e">
        <f>AND(#REF!,"AAAAAH/+Lzk=")</f>
        <v>#REF!</v>
      </c>
      <c r="BG41" t="e">
        <f>AND(#REF!,"AAAAAH/+Lzo=")</f>
        <v>#REF!</v>
      </c>
      <c r="BH41" t="e">
        <f>AND(#REF!,"AAAAAH/+Lzs=")</f>
        <v>#REF!</v>
      </c>
      <c r="BI41" t="e">
        <f>AND(#REF!,"AAAAAH/+Lzw=")</f>
        <v>#REF!</v>
      </c>
      <c r="BJ41" t="e">
        <f>AND(#REF!,"AAAAAH/+Lz0=")</f>
        <v>#REF!</v>
      </c>
      <c r="BK41" t="e">
        <f>AND(#REF!,"AAAAAH/+Lz4=")</f>
        <v>#REF!</v>
      </c>
      <c r="BL41" t="e">
        <f>AND(#REF!,"AAAAAH/+Lz8=")</f>
        <v>#REF!</v>
      </c>
      <c r="BM41" t="e">
        <f>AND(#REF!,"AAAAAH/+L0A=")</f>
        <v>#REF!</v>
      </c>
      <c r="BN41" t="e">
        <f>AND(#REF!,"AAAAAH/+L0E=")</f>
        <v>#REF!</v>
      </c>
      <c r="BO41" t="e">
        <f>AND(#REF!,"AAAAAH/+L0I=")</f>
        <v>#REF!</v>
      </c>
      <c r="BP41" t="e">
        <f>IF(#REF!,"AAAAAH/+L0M=",0)</f>
        <v>#REF!</v>
      </c>
      <c r="BQ41" t="e">
        <f>AND(#REF!,"AAAAAH/+L0Q=")</f>
        <v>#REF!</v>
      </c>
      <c r="BR41" t="e">
        <f>AND(#REF!,"AAAAAH/+L0U=")</f>
        <v>#REF!</v>
      </c>
      <c r="BS41" t="e">
        <f>AND(#REF!,"AAAAAH/+L0Y=")</f>
        <v>#REF!</v>
      </c>
      <c r="BT41" t="e">
        <f>AND(#REF!,"AAAAAH/+L0c=")</f>
        <v>#REF!</v>
      </c>
      <c r="BU41" t="e">
        <f>AND(#REF!,"AAAAAH/+L0g=")</f>
        <v>#REF!</v>
      </c>
      <c r="BV41" t="e">
        <f>AND(#REF!,"AAAAAH/+L0k=")</f>
        <v>#REF!</v>
      </c>
      <c r="BW41" t="e">
        <f>AND(#REF!,"AAAAAH/+L0o=")</f>
        <v>#REF!</v>
      </c>
      <c r="BX41" t="e">
        <f>AND(#REF!,"AAAAAH/+L0s=")</f>
        <v>#REF!</v>
      </c>
      <c r="BY41" t="e">
        <f>AND(#REF!,"AAAAAH/+L0w=")</f>
        <v>#REF!</v>
      </c>
      <c r="BZ41" t="e">
        <f>AND(#REF!,"AAAAAH/+L00=")</f>
        <v>#REF!</v>
      </c>
      <c r="CA41" t="e">
        <f>AND(#REF!,"AAAAAH/+L04=")</f>
        <v>#REF!</v>
      </c>
      <c r="CB41" t="e">
        <f>AND(#REF!,"AAAAAH/+L08=")</f>
        <v>#REF!</v>
      </c>
      <c r="CC41" t="e">
        <f>AND(#REF!,"AAAAAH/+L1A=")</f>
        <v>#REF!</v>
      </c>
      <c r="CD41" t="e">
        <f>AND(#REF!,"AAAAAH/+L1E=")</f>
        <v>#REF!</v>
      </c>
      <c r="CE41" t="e">
        <f>AND(#REF!,"AAAAAH/+L1I=")</f>
        <v>#REF!</v>
      </c>
      <c r="CF41" t="e">
        <f>AND(#REF!,"AAAAAH/+L1M=")</f>
        <v>#REF!</v>
      </c>
      <c r="CG41" t="e">
        <f>AND(#REF!,"AAAAAH/+L1Q=")</f>
        <v>#REF!</v>
      </c>
      <c r="CH41" t="e">
        <f>AND(#REF!,"AAAAAH/+L1U=")</f>
        <v>#REF!</v>
      </c>
      <c r="CI41" t="e">
        <f>AND(#REF!,"AAAAAH/+L1Y=")</f>
        <v>#REF!</v>
      </c>
      <c r="CJ41" t="e">
        <f>AND(#REF!,"AAAAAH/+L1c=")</f>
        <v>#REF!</v>
      </c>
      <c r="CK41" t="e">
        <f>AND(#REF!,"AAAAAH/+L1g=")</f>
        <v>#REF!</v>
      </c>
      <c r="CL41" t="e">
        <f>AND(#REF!,"AAAAAH/+L1k=")</f>
        <v>#REF!</v>
      </c>
      <c r="CM41" t="e">
        <f>AND(#REF!,"AAAAAH/+L1o=")</f>
        <v>#REF!</v>
      </c>
      <c r="CN41" t="e">
        <f>AND(#REF!,"AAAAAH/+L1s=")</f>
        <v>#REF!</v>
      </c>
      <c r="CO41" t="e">
        <f>AND(#REF!,"AAAAAH/+L1w=")</f>
        <v>#REF!</v>
      </c>
      <c r="CP41" t="e">
        <f>AND(#REF!,"AAAAAH/+L10=")</f>
        <v>#REF!</v>
      </c>
      <c r="CQ41" t="e">
        <f>IF(#REF!,"AAAAAH/+L14=",0)</f>
        <v>#REF!</v>
      </c>
      <c r="CR41" t="e">
        <f>AND(#REF!,"AAAAAH/+L18=")</f>
        <v>#REF!</v>
      </c>
      <c r="CS41" t="e">
        <f>AND(#REF!,"AAAAAH/+L2A=")</f>
        <v>#REF!</v>
      </c>
      <c r="CT41" t="e">
        <f>AND(#REF!,"AAAAAH/+L2E=")</f>
        <v>#REF!</v>
      </c>
      <c r="CU41" t="e">
        <f>AND(#REF!,"AAAAAH/+L2I=")</f>
        <v>#REF!</v>
      </c>
      <c r="CV41" t="e">
        <f>AND(#REF!,"AAAAAH/+L2M=")</f>
        <v>#REF!</v>
      </c>
      <c r="CW41" t="e">
        <f>AND(#REF!,"AAAAAH/+L2Q=")</f>
        <v>#REF!</v>
      </c>
      <c r="CX41" t="e">
        <f>AND(#REF!,"AAAAAH/+L2U=")</f>
        <v>#REF!</v>
      </c>
      <c r="CY41" t="e">
        <f>AND(#REF!,"AAAAAH/+L2Y=")</f>
        <v>#REF!</v>
      </c>
      <c r="CZ41" t="e">
        <f>AND(#REF!,"AAAAAH/+L2c=")</f>
        <v>#REF!</v>
      </c>
      <c r="DA41" t="e">
        <f>AND(#REF!,"AAAAAH/+L2g=")</f>
        <v>#REF!</v>
      </c>
      <c r="DB41" t="e">
        <f>AND(#REF!,"AAAAAH/+L2k=")</f>
        <v>#REF!</v>
      </c>
      <c r="DC41" t="e">
        <f>AND(#REF!,"AAAAAH/+L2o=")</f>
        <v>#REF!</v>
      </c>
      <c r="DD41" t="e">
        <f>AND(#REF!,"AAAAAH/+L2s=")</f>
        <v>#REF!</v>
      </c>
      <c r="DE41" t="e">
        <f>AND(#REF!,"AAAAAH/+L2w=")</f>
        <v>#REF!</v>
      </c>
      <c r="DF41" t="e">
        <f>AND(#REF!,"AAAAAH/+L20=")</f>
        <v>#REF!</v>
      </c>
      <c r="DG41" t="e">
        <f>AND(#REF!,"AAAAAH/+L24=")</f>
        <v>#REF!</v>
      </c>
      <c r="DH41" t="e">
        <f>AND(#REF!,"AAAAAH/+L28=")</f>
        <v>#REF!</v>
      </c>
      <c r="DI41" t="e">
        <f>AND(#REF!,"AAAAAH/+L3A=")</f>
        <v>#REF!</v>
      </c>
      <c r="DJ41" t="e">
        <f>AND(#REF!,"AAAAAH/+L3E=")</f>
        <v>#REF!</v>
      </c>
      <c r="DK41" t="e">
        <f>AND(#REF!,"AAAAAH/+L3I=")</f>
        <v>#REF!</v>
      </c>
      <c r="DL41" t="e">
        <f>AND(#REF!,"AAAAAH/+L3M=")</f>
        <v>#REF!</v>
      </c>
      <c r="DM41" t="e">
        <f>AND(#REF!,"AAAAAH/+L3Q=")</f>
        <v>#REF!</v>
      </c>
      <c r="DN41" t="e">
        <f>AND(#REF!,"AAAAAH/+L3U=")</f>
        <v>#REF!</v>
      </c>
      <c r="DO41" t="e">
        <f>AND(#REF!,"AAAAAH/+L3Y=")</f>
        <v>#REF!</v>
      </c>
      <c r="DP41" t="e">
        <f>AND(#REF!,"AAAAAH/+L3c=")</f>
        <v>#REF!</v>
      </c>
      <c r="DQ41" t="e">
        <f>AND(#REF!,"AAAAAH/+L3g=")</f>
        <v>#REF!</v>
      </c>
      <c r="DR41" t="e">
        <f>IF(#REF!,"AAAAAH/+L3k=",0)</f>
        <v>#REF!</v>
      </c>
      <c r="DS41" t="e">
        <f>AND(#REF!,"AAAAAH/+L3o=")</f>
        <v>#REF!</v>
      </c>
      <c r="DT41" t="e">
        <f>AND(#REF!,"AAAAAH/+L3s=")</f>
        <v>#REF!</v>
      </c>
      <c r="DU41" t="e">
        <f>AND(#REF!,"AAAAAH/+L3w=")</f>
        <v>#REF!</v>
      </c>
      <c r="DV41" t="e">
        <f>AND(#REF!,"AAAAAH/+L30=")</f>
        <v>#REF!</v>
      </c>
      <c r="DW41" t="e">
        <f>AND(#REF!,"AAAAAH/+L34=")</f>
        <v>#REF!</v>
      </c>
      <c r="DX41" t="e">
        <f>AND(#REF!,"AAAAAH/+L38=")</f>
        <v>#REF!</v>
      </c>
      <c r="DY41" t="e">
        <f>AND(#REF!,"AAAAAH/+L4A=")</f>
        <v>#REF!</v>
      </c>
      <c r="DZ41" t="e">
        <f>AND(#REF!,"AAAAAH/+L4E=")</f>
        <v>#REF!</v>
      </c>
      <c r="EA41" t="e">
        <f>AND(#REF!,"AAAAAH/+L4I=")</f>
        <v>#REF!</v>
      </c>
      <c r="EB41" t="e">
        <f>AND(#REF!,"AAAAAH/+L4M=")</f>
        <v>#REF!</v>
      </c>
      <c r="EC41" t="e">
        <f>AND(#REF!,"AAAAAH/+L4Q=")</f>
        <v>#REF!</v>
      </c>
      <c r="ED41" t="e">
        <f>AND(#REF!,"AAAAAH/+L4U=")</f>
        <v>#REF!</v>
      </c>
      <c r="EE41" t="e">
        <f>AND(#REF!,"AAAAAH/+L4Y=")</f>
        <v>#REF!</v>
      </c>
      <c r="EF41" t="e">
        <f>AND(#REF!,"AAAAAH/+L4c=")</f>
        <v>#REF!</v>
      </c>
      <c r="EG41" t="e">
        <f>AND(#REF!,"AAAAAH/+L4g=")</f>
        <v>#REF!</v>
      </c>
      <c r="EH41" t="e">
        <f>AND(#REF!,"AAAAAH/+L4k=")</f>
        <v>#REF!</v>
      </c>
      <c r="EI41" t="e">
        <f>AND(#REF!,"AAAAAH/+L4o=")</f>
        <v>#REF!</v>
      </c>
      <c r="EJ41" t="e">
        <f>AND(#REF!,"AAAAAH/+L4s=")</f>
        <v>#REF!</v>
      </c>
      <c r="EK41" t="e">
        <f>AND(#REF!,"AAAAAH/+L4w=")</f>
        <v>#REF!</v>
      </c>
      <c r="EL41" t="e">
        <f>AND(#REF!,"AAAAAH/+L40=")</f>
        <v>#REF!</v>
      </c>
      <c r="EM41" t="e">
        <f>AND(#REF!,"AAAAAH/+L44=")</f>
        <v>#REF!</v>
      </c>
      <c r="EN41" t="e">
        <f>AND(#REF!,"AAAAAH/+L48=")</f>
        <v>#REF!</v>
      </c>
      <c r="EO41" t="e">
        <f>AND(#REF!,"AAAAAH/+L5A=")</f>
        <v>#REF!</v>
      </c>
      <c r="EP41" t="e">
        <f>AND(#REF!,"AAAAAH/+L5E=")</f>
        <v>#REF!</v>
      </c>
      <c r="EQ41" t="e">
        <f>AND(#REF!,"AAAAAH/+L5I=")</f>
        <v>#REF!</v>
      </c>
      <c r="ER41" t="e">
        <f>AND(#REF!,"AAAAAH/+L5M=")</f>
        <v>#REF!</v>
      </c>
      <c r="ES41" t="e">
        <f>IF(#REF!,"AAAAAH/+L5Q=",0)</f>
        <v>#REF!</v>
      </c>
      <c r="ET41" t="e">
        <f>AND(#REF!,"AAAAAH/+L5U=")</f>
        <v>#REF!</v>
      </c>
      <c r="EU41" t="e">
        <f>AND(#REF!,"AAAAAH/+L5Y=")</f>
        <v>#REF!</v>
      </c>
      <c r="EV41" t="e">
        <f>AND(#REF!,"AAAAAH/+L5c=")</f>
        <v>#REF!</v>
      </c>
      <c r="EW41" t="e">
        <f>AND(#REF!,"AAAAAH/+L5g=")</f>
        <v>#REF!</v>
      </c>
      <c r="EX41" t="e">
        <f>AND(#REF!,"AAAAAH/+L5k=")</f>
        <v>#REF!</v>
      </c>
      <c r="EY41" t="e">
        <f>AND(#REF!,"AAAAAH/+L5o=")</f>
        <v>#REF!</v>
      </c>
      <c r="EZ41" t="e">
        <f>AND(#REF!,"AAAAAH/+L5s=")</f>
        <v>#REF!</v>
      </c>
      <c r="FA41" t="e">
        <f>AND(#REF!,"AAAAAH/+L5w=")</f>
        <v>#REF!</v>
      </c>
      <c r="FB41" t="e">
        <f>AND(#REF!,"AAAAAH/+L50=")</f>
        <v>#REF!</v>
      </c>
      <c r="FC41" t="e">
        <f>AND(#REF!,"AAAAAH/+L54=")</f>
        <v>#REF!</v>
      </c>
      <c r="FD41" t="e">
        <f>AND(#REF!,"AAAAAH/+L58=")</f>
        <v>#REF!</v>
      </c>
      <c r="FE41" t="e">
        <f>AND(#REF!,"AAAAAH/+L6A=")</f>
        <v>#REF!</v>
      </c>
      <c r="FF41" t="e">
        <f>AND(#REF!,"AAAAAH/+L6E=")</f>
        <v>#REF!</v>
      </c>
      <c r="FG41" t="e">
        <f>AND(#REF!,"AAAAAH/+L6I=")</f>
        <v>#REF!</v>
      </c>
      <c r="FH41" t="e">
        <f>AND(#REF!,"AAAAAH/+L6M=")</f>
        <v>#REF!</v>
      </c>
      <c r="FI41" t="e">
        <f>AND(#REF!,"AAAAAH/+L6Q=")</f>
        <v>#REF!</v>
      </c>
      <c r="FJ41" t="e">
        <f>AND(#REF!,"AAAAAH/+L6U=")</f>
        <v>#REF!</v>
      </c>
      <c r="FK41" t="e">
        <f>AND(#REF!,"AAAAAH/+L6Y=")</f>
        <v>#REF!</v>
      </c>
      <c r="FL41" t="e">
        <f>AND(#REF!,"AAAAAH/+L6c=")</f>
        <v>#REF!</v>
      </c>
      <c r="FM41" t="e">
        <f>AND(#REF!,"AAAAAH/+L6g=")</f>
        <v>#REF!</v>
      </c>
      <c r="FN41" t="e">
        <f>AND(#REF!,"AAAAAH/+L6k=")</f>
        <v>#REF!</v>
      </c>
      <c r="FO41" t="e">
        <f>AND(#REF!,"AAAAAH/+L6o=")</f>
        <v>#REF!</v>
      </c>
      <c r="FP41" t="e">
        <f>AND(#REF!,"AAAAAH/+L6s=")</f>
        <v>#REF!</v>
      </c>
      <c r="FQ41" t="e">
        <f>AND(#REF!,"AAAAAH/+L6w=")</f>
        <v>#REF!</v>
      </c>
      <c r="FR41" t="e">
        <f>AND(#REF!,"AAAAAH/+L60=")</f>
        <v>#REF!</v>
      </c>
      <c r="FS41" t="e">
        <f>AND(#REF!,"AAAAAH/+L64=")</f>
        <v>#REF!</v>
      </c>
      <c r="FT41" t="e">
        <f>IF(#REF!,"AAAAAH/+L68=",0)</f>
        <v>#REF!</v>
      </c>
      <c r="FU41" t="e">
        <f>AND(#REF!,"AAAAAH/+L7A=")</f>
        <v>#REF!</v>
      </c>
      <c r="FV41" t="e">
        <f>AND(#REF!,"AAAAAH/+L7E=")</f>
        <v>#REF!</v>
      </c>
      <c r="FW41" t="e">
        <f>AND(#REF!,"AAAAAH/+L7I=")</f>
        <v>#REF!</v>
      </c>
      <c r="FX41" t="e">
        <f>AND(#REF!,"AAAAAH/+L7M=")</f>
        <v>#REF!</v>
      </c>
      <c r="FY41" t="e">
        <f>AND(#REF!,"AAAAAH/+L7Q=")</f>
        <v>#REF!</v>
      </c>
      <c r="FZ41" t="e">
        <f>AND(#REF!,"AAAAAH/+L7U=")</f>
        <v>#REF!</v>
      </c>
      <c r="GA41" t="e">
        <f>AND(#REF!,"AAAAAH/+L7Y=")</f>
        <v>#REF!</v>
      </c>
      <c r="GB41" t="e">
        <f>AND(#REF!,"AAAAAH/+L7c=")</f>
        <v>#REF!</v>
      </c>
      <c r="GC41" t="e">
        <f>AND(#REF!,"AAAAAH/+L7g=")</f>
        <v>#REF!</v>
      </c>
      <c r="GD41" t="e">
        <f>AND(#REF!,"AAAAAH/+L7k=")</f>
        <v>#REF!</v>
      </c>
      <c r="GE41" t="e">
        <f>AND(#REF!,"AAAAAH/+L7o=")</f>
        <v>#REF!</v>
      </c>
      <c r="GF41" t="e">
        <f>AND(#REF!,"AAAAAH/+L7s=")</f>
        <v>#REF!</v>
      </c>
      <c r="GG41" t="e">
        <f>AND(#REF!,"AAAAAH/+L7w=")</f>
        <v>#REF!</v>
      </c>
      <c r="GH41" t="e">
        <f>AND(#REF!,"AAAAAH/+L70=")</f>
        <v>#REF!</v>
      </c>
      <c r="GI41" t="e">
        <f>AND(#REF!,"AAAAAH/+L74=")</f>
        <v>#REF!</v>
      </c>
      <c r="GJ41" t="e">
        <f>AND(#REF!,"AAAAAH/+L78=")</f>
        <v>#REF!</v>
      </c>
      <c r="GK41" t="e">
        <f>AND(#REF!,"AAAAAH/+L8A=")</f>
        <v>#REF!</v>
      </c>
      <c r="GL41" t="e">
        <f>AND(#REF!,"AAAAAH/+L8E=")</f>
        <v>#REF!</v>
      </c>
      <c r="GM41" t="e">
        <f>AND(#REF!,"AAAAAH/+L8I=")</f>
        <v>#REF!</v>
      </c>
      <c r="GN41" t="e">
        <f>AND(#REF!,"AAAAAH/+L8M=")</f>
        <v>#REF!</v>
      </c>
      <c r="GO41" t="e">
        <f>AND(#REF!,"AAAAAH/+L8Q=")</f>
        <v>#REF!</v>
      </c>
      <c r="GP41" t="e">
        <f>AND(#REF!,"AAAAAH/+L8U=")</f>
        <v>#REF!</v>
      </c>
      <c r="GQ41" t="e">
        <f>AND(#REF!,"AAAAAH/+L8Y=")</f>
        <v>#REF!</v>
      </c>
      <c r="GR41" t="e">
        <f>AND(#REF!,"AAAAAH/+L8c=")</f>
        <v>#REF!</v>
      </c>
      <c r="GS41" t="e">
        <f>AND(#REF!,"AAAAAH/+L8g=")</f>
        <v>#REF!</v>
      </c>
      <c r="GT41" t="e">
        <f>AND(#REF!,"AAAAAH/+L8k=")</f>
        <v>#REF!</v>
      </c>
      <c r="GU41" t="e">
        <f>IF(#REF!,"AAAAAH/+L8o=",0)</f>
        <v>#REF!</v>
      </c>
      <c r="GV41" t="e">
        <f>AND(#REF!,"AAAAAH/+L8s=")</f>
        <v>#REF!</v>
      </c>
      <c r="GW41" t="e">
        <f>AND(#REF!,"AAAAAH/+L8w=")</f>
        <v>#REF!</v>
      </c>
      <c r="GX41" t="e">
        <f>AND(#REF!,"AAAAAH/+L80=")</f>
        <v>#REF!</v>
      </c>
      <c r="GY41" t="e">
        <f>AND(#REF!,"AAAAAH/+L84=")</f>
        <v>#REF!</v>
      </c>
      <c r="GZ41" t="e">
        <f>AND(#REF!,"AAAAAH/+L88=")</f>
        <v>#REF!</v>
      </c>
      <c r="HA41" t="e">
        <f>AND(#REF!,"AAAAAH/+L9A=")</f>
        <v>#REF!</v>
      </c>
      <c r="HB41" t="e">
        <f>AND(#REF!,"AAAAAH/+L9E=")</f>
        <v>#REF!</v>
      </c>
      <c r="HC41" t="e">
        <f>AND(#REF!,"AAAAAH/+L9I=")</f>
        <v>#REF!</v>
      </c>
      <c r="HD41" t="e">
        <f>AND(#REF!,"AAAAAH/+L9M=")</f>
        <v>#REF!</v>
      </c>
      <c r="HE41" t="e">
        <f>AND(#REF!,"AAAAAH/+L9Q=")</f>
        <v>#REF!</v>
      </c>
      <c r="HF41" t="e">
        <f>AND(#REF!,"AAAAAH/+L9U=")</f>
        <v>#REF!</v>
      </c>
      <c r="HG41" t="e">
        <f>AND(#REF!,"AAAAAH/+L9Y=")</f>
        <v>#REF!</v>
      </c>
      <c r="HH41" t="e">
        <f>AND(#REF!,"AAAAAH/+L9c=")</f>
        <v>#REF!</v>
      </c>
      <c r="HI41" t="e">
        <f>AND(#REF!,"AAAAAH/+L9g=")</f>
        <v>#REF!</v>
      </c>
      <c r="HJ41" t="e">
        <f>AND(#REF!,"AAAAAH/+L9k=")</f>
        <v>#REF!</v>
      </c>
      <c r="HK41" t="e">
        <f>AND(#REF!,"AAAAAH/+L9o=")</f>
        <v>#REF!</v>
      </c>
      <c r="HL41" t="e">
        <f>AND(#REF!,"AAAAAH/+L9s=")</f>
        <v>#REF!</v>
      </c>
      <c r="HM41" t="e">
        <f>AND(#REF!,"AAAAAH/+L9w=")</f>
        <v>#REF!</v>
      </c>
      <c r="HN41" t="e">
        <f>AND(#REF!,"AAAAAH/+L90=")</f>
        <v>#REF!</v>
      </c>
      <c r="HO41" t="e">
        <f>AND(#REF!,"AAAAAH/+L94=")</f>
        <v>#REF!</v>
      </c>
      <c r="HP41" t="e">
        <f>AND(#REF!,"AAAAAH/+L98=")</f>
        <v>#REF!</v>
      </c>
      <c r="HQ41" t="e">
        <f>AND(#REF!,"AAAAAH/+L+A=")</f>
        <v>#REF!</v>
      </c>
      <c r="HR41" t="e">
        <f>AND(#REF!,"AAAAAH/+L+E=")</f>
        <v>#REF!</v>
      </c>
      <c r="HS41" t="e">
        <f>AND(#REF!,"AAAAAH/+L+I=")</f>
        <v>#REF!</v>
      </c>
      <c r="HT41" t="e">
        <f>AND(#REF!,"AAAAAH/+L+M=")</f>
        <v>#REF!</v>
      </c>
      <c r="HU41" t="e">
        <f>AND(#REF!,"AAAAAH/+L+Q=")</f>
        <v>#REF!</v>
      </c>
      <c r="HV41" t="e">
        <f>IF(#REF!,"AAAAAH/+L+U=",0)</f>
        <v>#REF!</v>
      </c>
      <c r="HW41" t="e">
        <f>AND(#REF!,"AAAAAH/+L+Y=")</f>
        <v>#REF!</v>
      </c>
      <c r="HX41" t="e">
        <f>AND(#REF!,"AAAAAH/+L+c=")</f>
        <v>#REF!</v>
      </c>
      <c r="HY41" t="e">
        <f>AND(#REF!,"AAAAAH/+L+g=")</f>
        <v>#REF!</v>
      </c>
      <c r="HZ41" t="e">
        <f>AND(#REF!,"AAAAAH/+L+k=")</f>
        <v>#REF!</v>
      </c>
      <c r="IA41" t="e">
        <f>AND(#REF!,"AAAAAH/+L+o=")</f>
        <v>#REF!</v>
      </c>
      <c r="IB41" t="e">
        <f>AND(#REF!,"AAAAAH/+L+s=")</f>
        <v>#REF!</v>
      </c>
      <c r="IC41" t="e">
        <f>AND(#REF!,"AAAAAH/+L+w=")</f>
        <v>#REF!</v>
      </c>
      <c r="ID41" t="e">
        <f>AND(#REF!,"AAAAAH/+L+0=")</f>
        <v>#REF!</v>
      </c>
      <c r="IE41" t="e">
        <f>AND(#REF!,"AAAAAH/+L+4=")</f>
        <v>#REF!</v>
      </c>
      <c r="IF41" t="e">
        <f>AND(#REF!,"AAAAAH/+L+8=")</f>
        <v>#REF!</v>
      </c>
      <c r="IG41" t="e">
        <f>AND(#REF!,"AAAAAH/+L/A=")</f>
        <v>#REF!</v>
      </c>
      <c r="IH41" t="e">
        <f>AND(#REF!,"AAAAAH/+L/E=")</f>
        <v>#REF!</v>
      </c>
      <c r="II41" t="e">
        <f>AND(#REF!,"AAAAAH/+L/I=")</f>
        <v>#REF!</v>
      </c>
      <c r="IJ41" t="e">
        <f>AND(#REF!,"AAAAAH/+L/M=")</f>
        <v>#REF!</v>
      </c>
      <c r="IK41" t="e">
        <f>AND(#REF!,"AAAAAH/+L/Q=")</f>
        <v>#REF!</v>
      </c>
      <c r="IL41" t="e">
        <f>AND(#REF!,"AAAAAH/+L/U=")</f>
        <v>#REF!</v>
      </c>
      <c r="IM41" t="e">
        <f>AND(#REF!,"AAAAAH/+L/Y=")</f>
        <v>#REF!</v>
      </c>
      <c r="IN41" t="e">
        <f>AND(#REF!,"AAAAAH/+L/c=")</f>
        <v>#REF!</v>
      </c>
      <c r="IO41" t="e">
        <f>AND(#REF!,"AAAAAH/+L/g=")</f>
        <v>#REF!</v>
      </c>
      <c r="IP41" t="e">
        <f>AND(#REF!,"AAAAAH/+L/k=")</f>
        <v>#REF!</v>
      </c>
      <c r="IQ41" t="e">
        <f>AND(#REF!,"AAAAAH/+L/o=")</f>
        <v>#REF!</v>
      </c>
      <c r="IR41" t="e">
        <f>AND(#REF!,"AAAAAH/+L/s=")</f>
        <v>#REF!</v>
      </c>
      <c r="IS41" t="e">
        <f>AND(#REF!,"AAAAAH/+L/w=")</f>
        <v>#REF!</v>
      </c>
      <c r="IT41" t="e">
        <f>AND(#REF!,"AAAAAH/+L/0=")</f>
        <v>#REF!</v>
      </c>
      <c r="IU41" t="e">
        <f>AND(#REF!,"AAAAAH/+L/4=")</f>
        <v>#REF!</v>
      </c>
      <c r="IV41" t="e">
        <f>AND(#REF!,"AAAAAH/+L/8=")</f>
        <v>#REF!</v>
      </c>
    </row>
    <row r="42" spans="1:256" x14ac:dyDescent="0.2">
      <c r="A42" t="e">
        <f>IF(#REF!,"AAAAAHf69wA=",0)</f>
        <v>#REF!</v>
      </c>
      <c r="B42" t="e">
        <f>AND(#REF!,"AAAAAHf69wE=")</f>
        <v>#REF!</v>
      </c>
      <c r="C42" t="e">
        <f>AND(#REF!,"AAAAAHf69wI=")</f>
        <v>#REF!</v>
      </c>
      <c r="D42" t="e">
        <f>AND(#REF!,"AAAAAHf69wM=")</f>
        <v>#REF!</v>
      </c>
      <c r="E42" t="e">
        <f>AND(#REF!,"AAAAAHf69wQ=")</f>
        <v>#REF!</v>
      </c>
      <c r="F42" t="e">
        <f>AND(#REF!,"AAAAAHf69wU=")</f>
        <v>#REF!</v>
      </c>
      <c r="G42" t="e">
        <f>AND(#REF!,"AAAAAHf69wY=")</f>
        <v>#REF!</v>
      </c>
      <c r="H42" t="e">
        <f>AND(#REF!,"AAAAAHf69wc=")</f>
        <v>#REF!</v>
      </c>
      <c r="I42" t="e">
        <f>AND(#REF!,"AAAAAHf69wg=")</f>
        <v>#REF!</v>
      </c>
      <c r="J42" t="e">
        <f>AND(#REF!,"AAAAAHf69wk=")</f>
        <v>#REF!</v>
      </c>
      <c r="K42" t="e">
        <f>AND(#REF!,"AAAAAHf69wo=")</f>
        <v>#REF!</v>
      </c>
      <c r="L42" t="e">
        <f>AND(#REF!,"AAAAAHf69ws=")</f>
        <v>#REF!</v>
      </c>
      <c r="M42" t="e">
        <f>AND(#REF!,"AAAAAHf69ww=")</f>
        <v>#REF!</v>
      </c>
      <c r="N42" t="e">
        <f>AND(#REF!,"AAAAAHf69w0=")</f>
        <v>#REF!</v>
      </c>
      <c r="O42" t="e">
        <f>AND(#REF!,"AAAAAHf69w4=")</f>
        <v>#REF!</v>
      </c>
      <c r="P42" t="e">
        <f>AND(#REF!,"AAAAAHf69w8=")</f>
        <v>#REF!</v>
      </c>
      <c r="Q42" t="e">
        <f>AND(#REF!,"AAAAAHf69xA=")</f>
        <v>#REF!</v>
      </c>
      <c r="R42" t="e">
        <f>AND(#REF!,"AAAAAHf69xE=")</f>
        <v>#REF!</v>
      </c>
      <c r="S42" t="e">
        <f>AND(#REF!,"AAAAAHf69xI=")</f>
        <v>#REF!</v>
      </c>
      <c r="T42" t="e">
        <f>AND(#REF!,"AAAAAHf69xM=")</f>
        <v>#REF!</v>
      </c>
      <c r="U42" t="e">
        <f>AND(#REF!,"AAAAAHf69xQ=")</f>
        <v>#REF!</v>
      </c>
      <c r="V42" t="e">
        <f>AND(#REF!,"AAAAAHf69xU=")</f>
        <v>#REF!</v>
      </c>
      <c r="W42" t="e">
        <f>AND(#REF!,"AAAAAHf69xY=")</f>
        <v>#REF!</v>
      </c>
      <c r="X42" t="e">
        <f>AND(#REF!,"AAAAAHf69xc=")</f>
        <v>#REF!</v>
      </c>
      <c r="Y42" t="e">
        <f>AND(#REF!,"AAAAAHf69xg=")</f>
        <v>#REF!</v>
      </c>
      <c r="Z42" t="e">
        <f>AND(#REF!,"AAAAAHf69xk=")</f>
        <v>#REF!</v>
      </c>
      <c r="AA42" t="e">
        <f>AND(#REF!,"AAAAAHf69xo=")</f>
        <v>#REF!</v>
      </c>
      <c r="AB42" t="e">
        <f>IF(#REF!,"AAAAAHf69xs=",0)</f>
        <v>#REF!</v>
      </c>
      <c r="AC42" t="e">
        <f>AND(#REF!,"AAAAAHf69xw=")</f>
        <v>#REF!</v>
      </c>
      <c r="AD42" t="e">
        <f>AND(#REF!,"AAAAAHf69x0=")</f>
        <v>#REF!</v>
      </c>
      <c r="AE42" t="e">
        <f>AND(#REF!,"AAAAAHf69x4=")</f>
        <v>#REF!</v>
      </c>
      <c r="AF42" t="e">
        <f>AND(#REF!,"AAAAAHf69x8=")</f>
        <v>#REF!</v>
      </c>
      <c r="AG42" t="e">
        <f>AND(#REF!,"AAAAAHf69yA=")</f>
        <v>#REF!</v>
      </c>
      <c r="AH42" t="e">
        <f>AND(#REF!,"AAAAAHf69yE=")</f>
        <v>#REF!</v>
      </c>
      <c r="AI42" t="e">
        <f>AND(#REF!,"AAAAAHf69yI=")</f>
        <v>#REF!</v>
      </c>
      <c r="AJ42" t="e">
        <f>AND(#REF!,"AAAAAHf69yM=")</f>
        <v>#REF!</v>
      </c>
      <c r="AK42" t="e">
        <f>AND(#REF!,"AAAAAHf69yQ=")</f>
        <v>#REF!</v>
      </c>
      <c r="AL42" t="e">
        <f>AND(#REF!,"AAAAAHf69yU=")</f>
        <v>#REF!</v>
      </c>
      <c r="AM42" t="e">
        <f>AND(#REF!,"AAAAAHf69yY=")</f>
        <v>#REF!</v>
      </c>
      <c r="AN42" t="e">
        <f>AND(#REF!,"AAAAAHf69yc=")</f>
        <v>#REF!</v>
      </c>
      <c r="AO42" t="e">
        <f>AND(#REF!,"AAAAAHf69yg=")</f>
        <v>#REF!</v>
      </c>
      <c r="AP42" t="e">
        <f>AND(#REF!,"AAAAAHf69yk=")</f>
        <v>#REF!</v>
      </c>
      <c r="AQ42" t="e">
        <f>AND(#REF!,"AAAAAHf69yo=")</f>
        <v>#REF!</v>
      </c>
      <c r="AR42" t="e">
        <f>AND(#REF!,"AAAAAHf69ys=")</f>
        <v>#REF!</v>
      </c>
      <c r="AS42" t="e">
        <f>AND(#REF!,"AAAAAHf69yw=")</f>
        <v>#REF!</v>
      </c>
      <c r="AT42" t="e">
        <f>AND(#REF!,"AAAAAHf69y0=")</f>
        <v>#REF!</v>
      </c>
      <c r="AU42" t="e">
        <f>AND(#REF!,"AAAAAHf69y4=")</f>
        <v>#REF!</v>
      </c>
      <c r="AV42" t="e">
        <f>AND(#REF!,"AAAAAHf69y8=")</f>
        <v>#REF!</v>
      </c>
      <c r="AW42" t="e">
        <f>AND(#REF!,"AAAAAHf69zA=")</f>
        <v>#REF!</v>
      </c>
      <c r="AX42" t="e">
        <f>AND(#REF!,"AAAAAHf69zE=")</f>
        <v>#REF!</v>
      </c>
      <c r="AY42" t="e">
        <f>AND(#REF!,"AAAAAHf69zI=")</f>
        <v>#REF!</v>
      </c>
      <c r="AZ42" t="e">
        <f>AND(#REF!,"AAAAAHf69zM=")</f>
        <v>#REF!</v>
      </c>
      <c r="BA42" t="e">
        <f>AND(#REF!,"AAAAAHf69zQ=")</f>
        <v>#REF!</v>
      </c>
      <c r="BB42" t="e">
        <f>AND(#REF!,"AAAAAHf69zU=")</f>
        <v>#REF!</v>
      </c>
      <c r="BC42" t="e">
        <f>IF(#REF!,"AAAAAHf69zY=",0)</f>
        <v>#REF!</v>
      </c>
      <c r="BD42" t="e">
        <f>AND(#REF!,"AAAAAHf69zc=")</f>
        <v>#REF!</v>
      </c>
      <c r="BE42" t="e">
        <f>AND(#REF!,"AAAAAHf69zg=")</f>
        <v>#REF!</v>
      </c>
      <c r="BF42" t="e">
        <f>AND(#REF!,"AAAAAHf69zk=")</f>
        <v>#REF!</v>
      </c>
      <c r="BG42" t="e">
        <f>AND(#REF!,"AAAAAHf69zo=")</f>
        <v>#REF!</v>
      </c>
      <c r="BH42" t="e">
        <f>AND(#REF!,"AAAAAHf69zs=")</f>
        <v>#REF!</v>
      </c>
      <c r="BI42" t="e">
        <f>AND(#REF!,"AAAAAHf69zw=")</f>
        <v>#REF!</v>
      </c>
      <c r="BJ42" t="e">
        <f>AND(#REF!,"AAAAAHf69z0=")</f>
        <v>#REF!</v>
      </c>
      <c r="BK42" t="e">
        <f>AND(#REF!,"AAAAAHf69z4=")</f>
        <v>#REF!</v>
      </c>
      <c r="BL42" t="e">
        <f>AND(#REF!,"AAAAAHf69z8=")</f>
        <v>#REF!</v>
      </c>
      <c r="BM42" t="e">
        <f>AND(#REF!,"AAAAAHf690A=")</f>
        <v>#REF!</v>
      </c>
      <c r="BN42" t="e">
        <f>AND(#REF!,"AAAAAHf690E=")</f>
        <v>#REF!</v>
      </c>
      <c r="BO42" t="e">
        <f>AND(#REF!,"AAAAAHf690I=")</f>
        <v>#REF!</v>
      </c>
      <c r="BP42" t="e">
        <f>AND(#REF!,"AAAAAHf690M=")</f>
        <v>#REF!</v>
      </c>
      <c r="BQ42" t="e">
        <f>AND(#REF!,"AAAAAHf690Q=")</f>
        <v>#REF!</v>
      </c>
      <c r="BR42" t="e">
        <f>AND(#REF!,"AAAAAHf690U=")</f>
        <v>#REF!</v>
      </c>
      <c r="BS42" t="e">
        <f>AND(#REF!,"AAAAAHf690Y=")</f>
        <v>#REF!</v>
      </c>
      <c r="BT42" t="e">
        <f>AND(#REF!,"AAAAAHf690c=")</f>
        <v>#REF!</v>
      </c>
      <c r="BU42" t="e">
        <f>AND(#REF!,"AAAAAHf690g=")</f>
        <v>#REF!</v>
      </c>
      <c r="BV42" t="e">
        <f>AND(#REF!,"AAAAAHf690k=")</f>
        <v>#REF!</v>
      </c>
      <c r="BW42" t="e">
        <f>AND(#REF!,"AAAAAHf690o=")</f>
        <v>#REF!</v>
      </c>
      <c r="BX42" t="e">
        <f>AND(#REF!,"AAAAAHf690s=")</f>
        <v>#REF!</v>
      </c>
      <c r="BY42" t="e">
        <f>AND(#REF!,"AAAAAHf690w=")</f>
        <v>#REF!</v>
      </c>
      <c r="BZ42" t="e">
        <f>AND(#REF!,"AAAAAHf6900=")</f>
        <v>#REF!</v>
      </c>
      <c r="CA42" t="e">
        <f>AND(#REF!,"AAAAAHf6904=")</f>
        <v>#REF!</v>
      </c>
      <c r="CB42" t="e">
        <f>AND(#REF!,"AAAAAHf6908=")</f>
        <v>#REF!</v>
      </c>
      <c r="CC42" t="e">
        <f>AND(#REF!,"AAAAAHf691A=")</f>
        <v>#REF!</v>
      </c>
      <c r="CD42" t="e">
        <f>IF(#REF!,"AAAAAHf691E=",0)</f>
        <v>#REF!</v>
      </c>
      <c r="CE42" t="e">
        <f>AND(#REF!,"AAAAAHf691I=")</f>
        <v>#REF!</v>
      </c>
      <c r="CF42" t="e">
        <f>AND(#REF!,"AAAAAHf691M=")</f>
        <v>#REF!</v>
      </c>
      <c r="CG42" t="e">
        <f>AND(#REF!,"AAAAAHf691Q=")</f>
        <v>#REF!</v>
      </c>
      <c r="CH42" t="e">
        <f>AND(#REF!,"AAAAAHf691U=")</f>
        <v>#REF!</v>
      </c>
      <c r="CI42" t="e">
        <f>AND(#REF!,"AAAAAHf691Y=")</f>
        <v>#REF!</v>
      </c>
      <c r="CJ42" t="e">
        <f>AND(#REF!,"AAAAAHf691c=")</f>
        <v>#REF!</v>
      </c>
      <c r="CK42" t="e">
        <f>AND(#REF!,"AAAAAHf691g=")</f>
        <v>#REF!</v>
      </c>
      <c r="CL42" t="e">
        <f>AND(#REF!,"AAAAAHf691k=")</f>
        <v>#REF!</v>
      </c>
      <c r="CM42" t="e">
        <f>AND(#REF!,"AAAAAHf691o=")</f>
        <v>#REF!</v>
      </c>
      <c r="CN42" t="e">
        <f>AND(#REF!,"AAAAAHf691s=")</f>
        <v>#REF!</v>
      </c>
      <c r="CO42" t="e">
        <f>AND(#REF!,"AAAAAHf691w=")</f>
        <v>#REF!</v>
      </c>
      <c r="CP42" t="e">
        <f>AND(#REF!,"AAAAAHf6910=")</f>
        <v>#REF!</v>
      </c>
      <c r="CQ42" t="e">
        <f>AND(#REF!,"AAAAAHf6914=")</f>
        <v>#REF!</v>
      </c>
      <c r="CR42" t="e">
        <f>AND(#REF!,"AAAAAHf6918=")</f>
        <v>#REF!</v>
      </c>
      <c r="CS42" t="e">
        <f>AND(#REF!,"AAAAAHf692A=")</f>
        <v>#REF!</v>
      </c>
      <c r="CT42" t="e">
        <f>AND(#REF!,"AAAAAHf692E=")</f>
        <v>#REF!</v>
      </c>
      <c r="CU42" t="e">
        <f>AND(#REF!,"AAAAAHf692I=")</f>
        <v>#REF!</v>
      </c>
      <c r="CV42" t="e">
        <f>AND(#REF!,"AAAAAHf692M=")</f>
        <v>#REF!</v>
      </c>
      <c r="CW42" t="e">
        <f>AND(#REF!,"AAAAAHf692Q=")</f>
        <v>#REF!</v>
      </c>
      <c r="CX42" t="e">
        <f>AND(#REF!,"AAAAAHf692U=")</f>
        <v>#REF!</v>
      </c>
      <c r="CY42" t="e">
        <f>AND(#REF!,"AAAAAHf692Y=")</f>
        <v>#REF!</v>
      </c>
      <c r="CZ42" t="e">
        <f>AND(#REF!,"AAAAAHf692c=")</f>
        <v>#REF!</v>
      </c>
      <c r="DA42" t="e">
        <f>AND(#REF!,"AAAAAHf692g=")</f>
        <v>#REF!</v>
      </c>
      <c r="DB42" t="e">
        <f>AND(#REF!,"AAAAAHf692k=")</f>
        <v>#REF!</v>
      </c>
      <c r="DC42" t="e">
        <f>AND(#REF!,"AAAAAHf692o=")</f>
        <v>#REF!</v>
      </c>
      <c r="DD42" t="e">
        <f>AND(#REF!,"AAAAAHf692s=")</f>
        <v>#REF!</v>
      </c>
      <c r="DE42" t="e">
        <f>IF(#REF!,"AAAAAHf692w=",0)</f>
        <v>#REF!</v>
      </c>
      <c r="DF42" t="e">
        <f>AND(#REF!,"AAAAAHf6920=")</f>
        <v>#REF!</v>
      </c>
      <c r="DG42" t="e">
        <f>AND(#REF!,"AAAAAHf6924=")</f>
        <v>#REF!</v>
      </c>
      <c r="DH42" t="e">
        <f>AND(#REF!,"AAAAAHf6928=")</f>
        <v>#REF!</v>
      </c>
      <c r="DI42" t="e">
        <f>AND(#REF!,"AAAAAHf693A=")</f>
        <v>#REF!</v>
      </c>
      <c r="DJ42" t="e">
        <f>AND(#REF!,"AAAAAHf693E=")</f>
        <v>#REF!</v>
      </c>
      <c r="DK42" t="e">
        <f>AND(#REF!,"AAAAAHf693I=")</f>
        <v>#REF!</v>
      </c>
      <c r="DL42" t="e">
        <f>AND(#REF!,"AAAAAHf693M=")</f>
        <v>#REF!</v>
      </c>
      <c r="DM42" t="e">
        <f>AND(#REF!,"AAAAAHf693Q=")</f>
        <v>#REF!</v>
      </c>
      <c r="DN42" t="e">
        <f>AND(#REF!,"AAAAAHf693U=")</f>
        <v>#REF!</v>
      </c>
      <c r="DO42" t="e">
        <f>AND(#REF!,"AAAAAHf693Y=")</f>
        <v>#REF!</v>
      </c>
      <c r="DP42" t="e">
        <f>AND(#REF!,"AAAAAHf693c=")</f>
        <v>#REF!</v>
      </c>
      <c r="DQ42" t="e">
        <f>AND(#REF!,"AAAAAHf693g=")</f>
        <v>#REF!</v>
      </c>
      <c r="DR42" t="e">
        <f>AND(#REF!,"AAAAAHf693k=")</f>
        <v>#REF!</v>
      </c>
      <c r="DS42" t="e">
        <f>AND(#REF!,"AAAAAHf693o=")</f>
        <v>#REF!</v>
      </c>
      <c r="DT42" t="e">
        <f>AND(#REF!,"AAAAAHf693s=")</f>
        <v>#REF!</v>
      </c>
      <c r="DU42" t="e">
        <f>AND(#REF!,"AAAAAHf693w=")</f>
        <v>#REF!</v>
      </c>
      <c r="DV42" t="e">
        <f>AND(#REF!,"AAAAAHf6930=")</f>
        <v>#REF!</v>
      </c>
      <c r="DW42" t="e">
        <f>AND(#REF!,"AAAAAHf6934=")</f>
        <v>#REF!</v>
      </c>
      <c r="DX42" t="e">
        <f>AND(#REF!,"AAAAAHf6938=")</f>
        <v>#REF!</v>
      </c>
      <c r="DY42" t="e">
        <f>AND(#REF!,"AAAAAHf694A=")</f>
        <v>#REF!</v>
      </c>
      <c r="DZ42" t="e">
        <f>AND(#REF!,"AAAAAHf694E=")</f>
        <v>#REF!</v>
      </c>
      <c r="EA42" t="e">
        <f>AND(#REF!,"AAAAAHf694I=")</f>
        <v>#REF!</v>
      </c>
      <c r="EB42" t="e">
        <f>AND(#REF!,"AAAAAHf694M=")</f>
        <v>#REF!</v>
      </c>
      <c r="EC42" t="e">
        <f>AND(#REF!,"AAAAAHf694Q=")</f>
        <v>#REF!</v>
      </c>
      <c r="ED42" t="e">
        <f>AND(#REF!,"AAAAAHf694U=")</f>
        <v>#REF!</v>
      </c>
      <c r="EE42" t="e">
        <f>AND(#REF!,"AAAAAHf694Y=")</f>
        <v>#REF!</v>
      </c>
      <c r="EF42" t="e">
        <f>IF(#REF!,"AAAAAHf694c=",0)</f>
        <v>#REF!</v>
      </c>
      <c r="EG42" t="e">
        <f>AND(#REF!,"AAAAAHf694g=")</f>
        <v>#REF!</v>
      </c>
      <c r="EH42" t="e">
        <f>AND(#REF!,"AAAAAHf694k=")</f>
        <v>#REF!</v>
      </c>
      <c r="EI42" t="e">
        <f>AND(#REF!,"AAAAAHf694o=")</f>
        <v>#REF!</v>
      </c>
      <c r="EJ42" t="e">
        <f>AND(#REF!,"AAAAAHf694s=")</f>
        <v>#REF!</v>
      </c>
      <c r="EK42" t="e">
        <f>AND(#REF!,"AAAAAHf694w=")</f>
        <v>#REF!</v>
      </c>
      <c r="EL42" t="e">
        <f>AND(#REF!,"AAAAAHf6940=")</f>
        <v>#REF!</v>
      </c>
      <c r="EM42" t="e">
        <f>AND(#REF!,"AAAAAHf6944=")</f>
        <v>#REF!</v>
      </c>
      <c r="EN42" t="e">
        <f>AND(#REF!,"AAAAAHf6948=")</f>
        <v>#REF!</v>
      </c>
      <c r="EO42" t="e">
        <f>AND(#REF!,"AAAAAHf695A=")</f>
        <v>#REF!</v>
      </c>
      <c r="EP42" t="e">
        <f>AND(#REF!,"AAAAAHf695E=")</f>
        <v>#REF!</v>
      </c>
      <c r="EQ42" t="e">
        <f>AND(#REF!,"AAAAAHf695I=")</f>
        <v>#REF!</v>
      </c>
      <c r="ER42" t="e">
        <f>AND(#REF!,"AAAAAHf695M=")</f>
        <v>#REF!</v>
      </c>
      <c r="ES42" t="e">
        <f>AND(#REF!,"AAAAAHf695Q=")</f>
        <v>#REF!</v>
      </c>
      <c r="ET42" t="e">
        <f>AND(#REF!,"AAAAAHf695U=")</f>
        <v>#REF!</v>
      </c>
      <c r="EU42" t="e">
        <f>AND(#REF!,"AAAAAHf695Y=")</f>
        <v>#REF!</v>
      </c>
      <c r="EV42" t="e">
        <f>AND(#REF!,"AAAAAHf695c=")</f>
        <v>#REF!</v>
      </c>
      <c r="EW42" t="e">
        <f>AND(#REF!,"AAAAAHf695g=")</f>
        <v>#REF!</v>
      </c>
      <c r="EX42" t="e">
        <f>AND(#REF!,"AAAAAHf695k=")</f>
        <v>#REF!</v>
      </c>
      <c r="EY42" t="e">
        <f>AND(#REF!,"AAAAAHf695o=")</f>
        <v>#REF!</v>
      </c>
      <c r="EZ42" t="e">
        <f>AND(#REF!,"AAAAAHf695s=")</f>
        <v>#REF!</v>
      </c>
      <c r="FA42" t="e">
        <f>AND(#REF!,"AAAAAHf695w=")</f>
        <v>#REF!</v>
      </c>
      <c r="FB42" t="e">
        <f>AND(#REF!,"AAAAAHf6950=")</f>
        <v>#REF!</v>
      </c>
      <c r="FC42" t="e">
        <f>AND(#REF!,"AAAAAHf6954=")</f>
        <v>#REF!</v>
      </c>
      <c r="FD42" t="e">
        <f>AND(#REF!,"AAAAAHf6958=")</f>
        <v>#REF!</v>
      </c>
      <c r="FE42" t="e">
        <f>AND(#REF!,"AAAAAHf696A=")</f>
        <v>#REF!</v>
      </c>
      <c r="FF42" t="e">
        <f>AND(#REF!,"AAAAAHf696E=")</f>
        <v>#REF!</v>
      </c>
      <c r="FG42" t="e">
        <f>IF(#REF!,"AAAAAHf696I=",0)</f>
        <v>#REF!</v>
      </c>
      <c r="FH42" t="e">
        <f>AND(#REF!,"AAAAAHf696M=")</f>
        <v>#REF!</v>
      </c>
      <c r="FI42" t="e">
        <f>AND(#REF!,"AAAAAHf696Q=")</f>
        <v>#REF!</v>
      </c>
      <c r="FJ42" t="e">
        <f>AND(#REF!,"AAAAAHf696U=")</f>
        <v>#REF!</v>
      </c>
      <c r="FK42" t="e">
        <f>AND(#REF!,"AAAAAHf696Y=")</f>
        <v>#REF!</v>
      </c>
      <c r="FL42" t="e">
        <f>AND(#REF!,"AAAAAHf696c=")</f>
        <v>#REF!</v>
      </c>
      <c r="FM42" t="e">
        <f>AND(#REF!,"AAAAAHf696g=")</f>
        <v>#REF!</v>
      </c>
      <c r="FN42" t="e">
        <f>AND(#REF!,"AAAAAHf696k=")</f>
        <v>#REF!</v>
      </c>
      <c r="FO42" t="e">
        <f>AND(#REF!,"AAAAAHf696o=")</f>
        <v>#REF!</v>
      </c>
      <c r="FP42" t="e">
        <f>AND(#REF!,"AAAAAHf696s=")</f>
        <v>#REF!</v>
      </c>
      <c r="FQ42" t="e">
        <f>AND(#REF!,"AAAAAHf696w=")</f>
        <v>#REF!</v>
      </c>
      <c r="FR42" t="e">
        <f>AND(#REF!,"AAAAAHf6960=")</f>
        <v>#REF!</v>
      </c>
      <c r="FS42" t="e">
        <f>AND(#REF!,"AAAAAHf6964=")</f>
        <v>#REF!</v>
      </c>
      <c r="FT42" t="e">
        <f>AND(#REF!,"AAAAAHf6968=")</f>
        <v>#REF!</v>
      </c>
      <c r="FU42" t="e">
        <f>AND(#REF!,"AAAAAHf697A=")</f>
        <v>#REF!</v>
      </c>
      <c r="FV42" t="e">
        <f>AND(#REF!,"AAAAAHf697E=")</f>
        <v>#REF!</v>
      </c>
      <c r="FW42" t="e">
        <f>AND(#REF!,"AAAAAHf697I=")</f>
        <v>#REF!</v>
      </c>
      <c r="FX42" t="e">
        <f>AND(#REF!,"AAAAAHf697M=")</f>
        <v>#REF!</v>
      </c>
      <c r="FY42" t="e">
        <f>AND(#REF!,"AAAAAHf697Q=")</f>
        <v>#REF!</v>
      </c>
      <c r="FZ42" t="e">
        <f>AND(#REF!,"AAAAAHf697U=")</f>
        <v>#REF!</v>
      </c>
      <c r="GA42" t="e">
        <f>AND(#REF!,"AAAAAHf697Y=")</f>
        <v>#REF!</v>
      </c>
      <c r="GB42" t="e">
        <f>AND(#REF!,"AAAAAHf697c=")</f>
        <v>#REF!</v>
      </c>
      <c r="GC42" t="e">
        <f>AND(#REF!,"AAAAAHf697g=")</f>
        <v>#REF!</v>
      </c>
      <c r="GD42" t="e">
        <f>AND(#REF!,"AAAAAHf697k=")</f>
        <v>#REF!</v>
      </c>
      <c r="GE42" t="e">
        <f>AND(#REF!,"AAAAAHf697o=")</f>
        <v>#REF!</v>
      </c>
      <c r="GF42" t="e">
        <f>AND(#REF!,"AAAAAHf697s=")</f>
        <v>#REF!</v>
      </c>
      <c r="GG42" t="e">
        <f>AND(#REF!,"AAAAAHf697w=")</f>
        <v>#REF!</v>
      </c>
      <c r="GH42" t="e">
        <f>IF(#REF!,"AAAAAHf6970=",0)</f>
        <v>#REF!</v>
      </c>
      <c r="GI42" t="e">
        <f>AND(#REF!,"AAAAAHf6974=")</f>
        <v>#REF!</v>
      </c>
      <c r="GJ42" t="e">
        <f>AND(#REF!,"AAAAAHf6978=")</f>
        <v>#REF!</v>
      </c>
      <c r="GK42" t="e">
        <f>AND(#REF!,"AAAAAHf698A=")</f>
        <v>#REF!</v>
      </c>
      <c r="GL42" t="e">
        <f>AND(#REF!,"AAAAAHf698E=")</f>
        <v>#REF!</v>
      </c>
      <c r="GM42" t="e">
        <f>AND(#REF!,"AAAAAHf698I=")</f>
        <v>#REF!</v>
      </c>
      <c r="GN42" t="e">
        <f>AND(#REF!,"AAAAAHf698M=")</f>
        <v>#REF!</v>
      </c>
      <c r="GO42" t="e">
        <f>AND(#REF!,"AAAAAHf698Q=")</f>
        <v>#REF!</v>
      </c>
      <c r="GP42" t="e">
        <f>AND(#REF!,"AAAAAHf698U=")</f>
        <v>#REF!</v>
      </c>
      <c r="GQ42" t="e">
        <f>AND(#REF!,"AAAAAHf698Y=")</f>
        <v>#REF!</v>
      </c>
      <c r="GR42" t="e">
        <f>AND(#REF!,"AAAAAHf698c=")</f>
        <v>#REF!</v>
      </c>
      <c r="GS42" t="e">
        <f>AND(#REF!,"AAAAAHf698g=")</f>
        <v>#REF!</v>
      </c>
      <c r="GT42" t="e">
        <f>AND(#REF!,"AAAAAHf698k=")</f>
        <v>#REF!</v>
      </c>
      <c r="GU42" t="e">
        <f>AND(#REF!,"AAAAAHf698o=")</f>
        <v>#REF!</v>
      </c>
      <c r="GV42" t="e">
        <f>AND(#REF!,"AAAAAHf698s=")</f>
        <v>#REF!</v>
      </c>
      <c r="GW42" t="e">
        <f>AND(#REF!,"AAAAAHf698w=")</f>
        <v>#REF!</v>
      </c>
      <c r="GX42" t="e">
        <f>AND(#REF!,"AAAAAHf6980=")</f>
        <v>#REF!</v>
      </c>
      <c r="GY42" t="e">
        <f>AND(#REF!,"AAAAAHf6984=")</f>
        <v>#REF!</v>
      </c>
      <c r="GZ42" t="e">
        <f>AND(#REF!,"AAAAAHf6988=")</f>
        <v>#REF!</v>
      </c>
      <c r="HA42" t="e">
        <f>AND(#REF!,"AAAAAHf699A=")</f>
        <v>#REF!</v>
      </c>
      <c r="HB42" t="e">
        <f>AND(#REF!,"AAAAAHf699E=")</f>
        <v>#REF!</v>
      </c>
      <c r="HC42" t="e">
        <f>AND(#REF!,"AAAAAHf699I=")</f>
        <v>#REF!</v>
      </c>
      <c r="HD42" t="e">
        <f>AND(#REF!,"AAAAAHf699M=")</f>
        <v>#REF!</v>
      </c>
      <c r="HE42" t="e">
        <f>AND(#REF!,"AAAAAHf699Q=")</f>
        <v>#REF!</v>
      </c>
      <c r="HF42" t="e">
        <f>AND(#REF!,"AAAAAHf699U=")</f>
        <v>#REF!</v>
      </c>
      <c r="HG42" t="e">
        <f>AND(#REF!,"AAAAAHf699Y=")</f>
        <v>#REF!</v>
      </c>
      <c r="HH42" t="e">
        <f>AND(#REF!,"AAAAAHf699c=")</f>
        <v>#REF!</v>
      </c>
      <c r="HI42" t="e">
        <f>IF(#REF!,"AAAAAHf699g=",0)</f>
        <v>#REF!</v>
      </c>
      <c r="HJ42" t="e">
        <f>AND(#REF!,"AAAAAHf699k=")</f>
        <v>#REF!</v>
      </c>
      <c r="HK42" t="e">
        <f>AND(#REF!,"AAAAAHf699o=")</f>
        <v>#REF!</v>
      </c>
      <c r="HL42" t="e">
        <f>AND(#REF!,"AAAAAHf699s=")</f>
        <v>#REF!</v>
      </c>
      <c r="HM42" t="e">
        <f>AND(#REF!,"AAAAAHf699w=")</f>
        <v>#REF!</v>
      </c>
      <c r="HN42" t="e">
        <f>AND(#REF!,"AAAAAHf6990=")</f>
        <v>#REF!</v>
      </c>
      <c r="HO42" t="e">
        <f>AND(#REF!,"AAAAAHf6994=")</f>
        <v>#REF!</v>
      </c>
      <c r="HP42" t="e">
        <f>AND(#REF!,"AAAAAHf6998=")</f>
        <v>#REF!</v>
      </c>
      <c r="HQ42" t="e">
        <f>AND(#REF!,"AAAAAHf69+A=")</f>
        <v>#REF!</v>
      </c>
      <c r="HR42" t="e">
        <f>AND(#REF!,"AAAAAHf69+E=")</f>
        <v>#REF!</v>
      </c>
      <c r="HS42" t="e">
        <f>AND(#REF!,"AAAAAHf69+I=")</f>
        <v>#REF!</v>
      </c>
      <c r="HT42" t="e">
        <f>AND(#REF!,"AAAAAHf69+M=")</f>
        <v>#REF!</v>
      </c>
      <c r="HU42" t="e">
        <f>AND(#REF!,"AAAAAHf69+Q=")</f>
        <v>#REF!</v>
      </c>
      <c r="HV42" t="e">
        <f>AND(#REF!,"AAAAAHf69+U=")</f>
        <v>#REF!</v>
      </c>
      <c r="HW42" t="e">
        <f>AND(#REF!,"AAAAAHf69+Y=")</f>
        <v>#REF!</v>
      </c>
      <c r="HX42" t="e">
        <f>AND(#REF!,"AAAAAHf69+c=")</f>
        <v>#REF!</v>
      </c>
      <c r="HY42" t="e">
        <f>AND(#REF!,"AAAAAHf69+g=")</f>
        <v>#REF!</v>
      </c>
      <c r="HZ42" t="e">
        <f>AND(#REF!,"AAAAAHf69+k=")</f>
        <v>#REF!</v>
      </c>
      <c r="IA42" t="e">
        <f>AND(#REF!,"AAAAAHf69+o=")</f>
        <v>#REF!</v>
      </c>
      <c r="IB42" t="e">
        <f>AND(#REF!,"AAAAAHf69+s=")</f>
        <v>#REF!</v>
      </c>
      <c r="IC42" t="e">
        <f>AND(#REF!,"AAAAAHf69+w=")</f>
        <v>#REF!</v>
      </c>
      <c r="ID42" t="e">
        <f>AND(#REF!,"AAAAAHf69+0=")</f>
        <v>#REF!</v>
      </c>
      <c r="IE42" t="e">
        <f>AND(#REF!,"AAAAAHf69+4=")</f>
        <v>#REF!</v>
      </c>
      <c r="IF42" t="e">
        <f>AND(#REF!,"AAAAAHf69+8=")</f>
        <v>#REF!</v>
      </c>
      <c r="IG42" t="e">
        <f>AND(#REF!,"AAAAAHf69/A=")</f>
        <v>#REF!</v>
      </c>
      <c r="IH42" t="e">
        <f>AND(#REF!,"AAAAAHf69/E=")</f>
        <v>#REF!</v>
      </c>
      <c r="II42" t="e">
        <f>AND(#REF!,"AAAAAHf69/I=")</f>
        <v>#REF!</v>
      </c>
      <c r="IJ42" t="e">
        <f>IF(#REF!,"AAAAAHf69/M=",0)</f>
        <v>#REF!</v>
      </c>
      <c r="IK42" t="e">
        <f>AND(#REF!,"AAAAAHf69/Q=")</f>
        <v>#REF!</v>
      </c>
      <c r="IL42" t="e">
        <f>AND(#REF!,"AAAAAHf69/U=")</f>
        <v>#REF!</v>
      </c>
      <c r="IM42" t="e">
        <f>AND(#REF!,"AAAAAHf69/Y=")</f>
        <v>#REF!</v>
      </c>
      <c r="IN42" t="e">
        <f>AND(#REF!,"AAAAAHf69/c=")</f>
        <v>#REF!</v>
      </c>
      <c r="IO42" t="e">
        <f>AND(#REF!,"AAAAAHf69/g=")</f>
        <v>#REF!</v>
      </c>
      <c r="IP42" t="e">
        <f>AND(#REF!,"AAAAAHf69/k=")</f>
        <v>#REF!</v>
      </c>
      <c r="IQ42" t="e">
        <f>AND(#REF!,"AAAAAHf69/o=")</f>
        <v>#REF!</v>
      </c>
      <c r="IR42" t="e">
        <f>AND(#REF!,"AAAAAHf69/s=")</f>
        <v>#REF!</v>
      </c>
      <c r="IS42" t="e">
        <f>AND(#REF!,"AAAAAHf69/w=")</f>
        <v>#REF!</v>
      </c>
      <c r="IT42" t="e">
        <f>AND(#REF!,"AAAAAHf69/0=")</f>
        <v>#REF!</v>
      </c>
      <c r="IU42" t="e">
        <f>AND(#REF!,"AAAAAHf69/4=")</f>
        <v>#REF!</v>
      </c>
      <c r="IV42" t="e">
        <f>AND(#REF!,"AAAAAHf69/8=")</f>
        <v>#REF!</v>
      </c>
    </row>
    <row r="43" spans="1:256" x14ac:dyDescent="0.2">
      <c r="A43" t="e">
        <f>AND(#REF!,"AAAAAH9P/wA=")</f>
        <v>#REF!</v>
      </c>
      <c r="B43" t="e">
        <f>AND(#REF!,"AAAAAH9P/wE=")</f>
        <v>#REF!</v>
      </c>
      <c r="C43" t="e">
        <f>AND(#REF!,"AAAAAH9P/wI=")</f>
        <v>#REF!</v>
      </c>
      <c r="D43" t="e">
        <f>AND(#REF!,"AAAAAH9P/wM=")</f>
        <v>#REF!</v>
      </c>
      <c r="E43" t="e">
        <f>AND(#REF!,"AAAAAH9P/wQ=")</f>
        <v>#REF!</v>
      </c>
      <c r="F43" t="e">
        <f>AND(#REF!,"AAAAAH9P/wU=")</f>
        <v>#REF!</v>
      </c>
      <c r="G43" t="e">
        <f>AND(#REF!,"AAAAAH9P/wY=")</f>
        <v>#REF!</v>
      </c>
      <c r="H43" t="e">
        <f>AND(#REF!,"AAAAAH9P/wc=")</f>
        <v>#REF!</v>
      </c>
      <c r="I43" t="e">
        <f>AND(#REF!,"AAAAAH9P/wg=")</f>
        <v>#REF!</v>
      </c>
      <c r="J43" t="e">
        <f>AND(#REF!,"AAAAAH9P/wk=")</f>
        <v>#REF!</v>
      </c>
      <c r="K43" t="e">
        <f>AND(#REF!,"AAAAAH9P/wo=")</f>
        <v>#REF!</v>
      </c>
      <c r="L43" t="e">
        <f>AND(#REF!,"AAAAAH9P/ws=")</f>
        <v>#REF!</v>
      </c>
      <c r="M43" t="e">
        <f>AND(#REF!,"AAAAAH9P/ww=")</f>
        <v>#REF!</v>
      </c>
      <c r="N43" t="e">
        <f>AND(#REF!,"AAAAAH9P/w0=")</f>
        <v>#REF!</v>
      </c>
      <c r="O43" t="e">
        <f>IF(#REF!,"AAAAAH9P/w4=",0)</f>
        <v>#REF!</v>
      </c>
      <c r="P43" t="e">
        <f>AND(#REF!,"AAAAAH9P/w8=")</f>
        <v>#REF!</v>
      </c>
      <c r="Q43" t="e">
        <f>AND(#REF!,"AAAAAH9P/xA=")</f>
        <v>#REF!</v>
      </c>
      <c r="R43" t="e">
        <f>AND(#REF!,"AAAAAH9P/xE=")</f>
        <v>#REF!</v>
      </c>
      <c r="S43" t="e">
        <f>AND(#REF!,"AAAAAH9P/xI=")</f>
        <v>#REF!</v>
      </c>
      <c r="T43" t="e">
        <f>AND(#REF!,"AAAAAH9P/xM=")</f>
        <v>#REF!</v>
      </c>
      <c r="U43" t="e">
        <f>AND(#REF!,"AAAAAH9P/xQ=")</f>
        <v>#REF!</v>
      </c>
      <c r="V43" t="e">
        <f>AND(#REF!,"AAAAAH9P/xU=")</f>
        <v>#REF!</v>
      </c>
      <c r="W43" t="e">
        <f>AND(#REF!,"AAAAAH9P/xY=")</f>
        <v>#REF!</v>
      </c>
      <c r="X43" t="e">
        <f>AND(#REF!,"AAAAAH9P/xc=")</f>
        <v>#REF!</v>
      </c>
      <c r="Y43" t="e">
        <f>AND(#REF!,"AAAAAH9P/xg=")</f>
        <v>#REF!</v>
      </c>
      <c r="Z43" t="e">
        <f>AND(#REF!,"AAAAAH9P/xk=")</f>
        <v>#REF!</v>
      </c>
      <c r="AA43" t="e">
        <f>AND(#REF!,"AAAAAH9P/xo=")</f>
        <v>#REF!</v>
      </c>
      <c r="AB43" t="e">
        <f>AND(#REF!,"AAAAAH9P/xs=")</f>
        <v>#REF!</v>
      </c>
      <c r="AC43" t="e">
        <f>AND(#REF!,"AAAAAH9P/xw=")</f>
        <v>#REF!</v>
      </c>
      <c r="AD43" t="e">
        <f>AND(#REF!,"AAAAAH9P/x0=")</f>
        <v>#REF!</v>
      </c>
      <c r="AE43" t="e">
        <f>AND(#REF!,"AAAAAH9P/x4=")</f>
        <v>#REF!</v>
      </c>
      <c r="AF43" t="e">
        <f>AND(#REF!,"AAAAAH9P/x8=")</f>
        <v>#REF!</v>
      </c>
      <c r="AG43" t="e">
        <f>AND(#REF!,"AAAAAH9P/yA=")</f>
        <v>#REF!</v>
      </c>
      <c r="AH43" t="e">
        <f>AND(#REF!,"AAAAAH9P/yE=")</f>
        <v>#REF!</v>
      </c>
      <c r="AI43" t="e">
        <f>AND(#REF!,"AAAAAH9P/yI=")</f>
        <v>#REF!</v>
      </c>
      <c r="AJ43" t="e">
        <f>AND(#REF!,"AAAAAH9P/yM=")</f>
        <v>#REF!</v>
      </c>
      <c r="AK43" t="e">
        <f>AND(#REF!,"AAAAAH9P/yQ=")</f>
        <v>#REF!</v>
      </c>
      <c r="AL43" t="e">
        <f>AND(#REF!,"AAAAAH9P/yU=")</f>
        <v>#REF!</v>
      </c>
      <c r="AM43" t="e">
        <f>AND(#REF!,"AAAAAH9P/yY=")</f>
        <v>#REF!</v>
      </c>
      <c r="AN43" t="e">
        <f>AND(#REF!,"AAAAAH9P/yc=")</f>
        <v>#REF!</v>
      </c>
      <c r="AO43" t="e">
        <f>AND(#REF!,"AAAAAH9P/yg=")</f>
        <v>#REF!</v>
      </c>
      <c r="AP43" t="e">
        <f>IF(#REF!,"AAAAAH9P/yk=",0)</f>
        <v>#REF!</v>
      </c>
      <c r="AQ43" t="e">
        <f>AND(#REF!,"AAAAAH9P/yo=")</f>
        <v>#REF!</v>
      </c>
      <c r="AR43" t="e">
        <f>AND(#REF!,"AAAAAH9P/ys=")</f>
        <v>#REF!</v>
      </c>
      <c r="AS43" t="e">
        <f>AND(#REF!,"AAAAAH9P/yw=")</f>
        <v>#REF!</v>
      </c>
      <c r="AT43" t="e">
        <f>AND(#REF!,"AAAAAH9P/y0=")</f>
        <v>#REF!</v>
      </c>
      <c r="AU43" t="e">
        <f>AND(#REF!,"AAAAAH9P/y4=")</f>
        <v>#REF!</v>
      </c>
      <c r="AV43" t="e">
        <f>AND(#REF!,"AAAAAH9P/y8=")</f>
        <v>#REF!</v>
      </c>
      <c r="AW43" t="e">
        <f>AND(#REF!,"AAAAAH9P/zA=")</f>
        <v>#REF!</v>
      </c>
      <c r="AX43" t="e">
        <f>AND(#REF!,"AAAAAH9P/zE=")</f>
        <v>#REF!</v>
      </c>
      <c r="AY43" t="e">
        <f>AND(#REF!,"AAAAAH9P/zI=")</f>
        <v>#REF!</v>
      </c>
      <c r="AZ43" t="e">
        <f>AND(#REF!,"AAAAAH9P/zM=")</f>
        <v>#REF!</v>
      </c>
      <c r="BA43" t="e">
        <f>AND(#REF!,"AAAAAH9P/zQ=")</f>
        <v>#REF!</v>
      </c>
      <c r="BB43" t="e">
        <f>AND(#REF!,"AAAAAH9P/zU=")</f>
        <v>#REF!</v>
      </c>
      <c r="BC43" t="e">
        <f>AND(#REF!,"AAAAAH9P/zY=")</f>
        <v>#REF!</v>
      </c>
      <c r="BD43" t="e">
        <f>AND(#REF!,"AAAAAH9P/zc=")</f>
        <v>#REF!</v>
      </c>
      <c r="BE43" t="e">
        <f>AND(#REF!,"AAAAAH9P/zg=")</f>
        <v>#REF!</v>
      </c>
      <c r="BF43" t="e">
        <f>AND(#REF!,"AAAAAH9P/zk=")</f>
        <v>#REF!</v>
      </c>
      <c r="BG43" t="e">
        <f>AND(#REF!,"AAAAAH9P/zo=")</f>
        <v>#REF!</v>
      </c>
      <c r="BH43" t="e">
        <f>AND(#REF!,"AAAAAH9P/zs=")</f>
        <v>#REF!</v>
      </c>
      <c r="BI43" t="e">
        <f>AND(#REF!,"AAAAAH9P/zw=")</f>
        <v>#REF!</v>
      </c>
      <c r="BJ43" t="e">
        <f>AND(#REF!,"AAAAAH9P/z0=")</f>
        <v>#REF!</v>
      </c>
      <c r="BK43" t="e">
        <f>AND(#REF!,"AAAAAH9P/z4=")</f>
        <v>#REF!</v>
      </c>
      <c r="BL43" t="e">
        <f>AND(#REF!,"AAAAAH9P/z8=")</f>
        <v>#REF!</v>
      </c>
      <c r="BM43" t="e">
        <f>AND(#REF!,"AAAAAH9P/0A=")</f>
        <v>#REF!</v>
      </c>
      <c r="BN43" t="e">
        <f>AND(#REF!,"AAAAAH9P/0E=")</f>
        <v>#REF!</v>
      </c>
      <c r="BO43" t="e">
        <f>AND(#REF!,"AAAAAH9P/0I=")</f>
        <v>#REF!</v>
      </c>
      <c r="BP43" t="e">
        <f>AND(#REF!,"AAAAAH9P/0M=")</f>
        <v>#REF!</v>
      </c>
      <c r="BQ43" t="e">
        <f>IF(#REF!,"AAAAAH9P/0Q=",0)</f>
        <v>#REF!</v>
      </c>
      <c r="BR43" t="e">
        <f>AND(#REF!,"AAAAAH9P/0U=")</f>
        <v>#REF!</v>
      </c>
      <c r="BS43" t="e">
        <f>AND(#REF!,"AAAAAH9P/0Y=")</f>
        <v>#REF!</v>
      </c>
      <c r="BT43" t="e">
        <f>AND(#REF!,"AAAAAH9P/0c=")</f>
        <v>#REF!</v>
      </c>
      <c r="BU43" t="e">
        <f>AND(#REF!,"AAAAAH9P/0g=")</f>
        <v>#REF!</v>
      </c>
      <c r="BV43" t="e">
        <f>AND(#REF!,"AAAAAH9P/0k=")</f>
        <v>#REF!</v>
      </c>
      <c r="BW43" t="e">
        <f>AND(#REF!,"AAAAAH9P/0o=")</f>
        <v>#REF!</v>
      </c>
      <c r="BX43" t="e">
        <f>AND(#REF!,"AAAAAH9P/0s=")</f>
        <v>#REF!</v>
      </c>
      <c r="BY43" t="e">
        <f>AND(#REF!,"AAAAAH9P/0w=")</f>
        <v>#REF!</v>
      </c>
      <c r="BZ43" t="e">
        <f>AND(#REF!,"AAAAAH9P/00=")</f>
        <v>#REF!</v>
      </c>
      <c r="CA43" t="e">
        <f>AND(#REF!,"AAAAAH9P/04=")</f>
        <v>#REF!</v>
      </c>
      <c r="CB43" t="e">
        <f>AND(#REF!,"AAAAAH9P/08=")</f>
        <v>#REF!</v>
      </c>
      <c r="CC43" t="e">
        <f>AND(#REF!,"AAAAAH9P/1A=")</f>
        <v>#REF!</v>
      </c>
      <c r="CD43" t="e">
        <f>AND(#REF!,"AAAAAH9P/1E=")</f>
        <v>#REF!</v>
      </c>
      <c r="CE43" t="e">
        <f>AND(#REF!,"AAAAAH9P/1I=")</f>
        <v>#REF!</v>
      </c>
      <c r="CF43" t="e">
        <f>AND(#REF!,"AAAAAH9P/1M=")</f>
        <v>#REF!</v>
      </c>
      <c r="CG43" t="e">
        <f>AND(#REF!,"AAAAAH9P/1Q=")</f>
        <v>#REF!</v>
      </c>
      <c r="CH43" t="e">
        <f>AND(#REF!,"AAAAAH9P/1U=")</f>
        <v>#REF!</v>
      </c>
      <c r="CI43" t="e">
        <f>AND(#REF!,"AAAAAH9P/1Y=")</f>
        <v>#REF!</v>
      </c>
      <c r="CJ43" t="e">
        <f>AND(#REF!,"AAAAAH9P/1c=")</f>
        <v>#REF!</v>
      </c>
      <c r="CK43" t="e">
        <f>AND(#REF!,"AAAAAH9P/1g=")</f>
        <v>#REF!</v>
      </c>
      <c r="CL43" t="e">
        <f>AND(#REF!,"AAAAAH9P/1k=")</f>
        <v>#REF!</v>
      </c>
      <c r="CM43" t="e">
        <f>AND(#REF!,"AAAAAH9P/1o=")</f>
        <v>#REF!</v>
      </c>
      <c r="CN43" t="e">
        <f>AND(#REF!,"AAAAAH9P/1s=")</f>
        <v>#REF!</v>
      </c>
      <c r="CO43" t="e">
        <f>AND(#REF!,"AAAAAH9P/1w=")</f>
        <v>#REF!</v>
      </c>
      <c r="CP43" t="e">
        <f>AND(#REF!,"AAAAAH9P/10=")</f>
        <v>#REF!</v>
      </c>
      <c r="CQ43" t="e">
        <f>AND(#REF!,"AAAAAH9P/14=")</f>
        <v>#REF!</v>
      </c>
      <c r="CR43" t="e">
        <f>IF(#REF!,"AAAAAH9P/18=",0)</f>
        <v>#REF!</v>
      </c>
      <c r="CS43" t="e">
        <f>AND(#REF!,"AAAAAH9P/2A=")</f>
        <v>#REF!</v>
      </c>
      <c r="CT43" t="e">
        <f>AND(#REF!,"AAAAAH9P/2E=")</f>
        <v>#REF!</v>
      </c>
      <c r="CU43" t="e">
        <f>AND(#REF!,"AAAAAH9P/2I=")</f>
        <v>#REF!</v>
      </c>
      <c r="CV43" t="e">
        <f>AND(#REF!,"AAAAAH9P/2M=")</f>
        <v>#REF!</v>
      </c>
      <c r="CW43" t="e">
        <f>AND(#REF!,"AAAAAH9P/2Q=")</f>
        <v>#REF!</v>
      </c>
      <c r="CX43" t="e">
        <f>AND(#REF!,"AAAAAH9P/2U=")</f>
        <v>#REF!</v>
      </c>
      <c r="CY43" t="e">
        <f>AND(#REF!,"AAAAAH9P/2Y=")</f>
        <v>#REF!</v>
      </c>
      <c r="CZ43" t="e">
        <f>AND(#REF!,"AAAAAH9P/2c=")</f>
        <v>#REF!</v>
      </c>
      <c r="DA43" t="e">
        <f>AND(#REF!,"AAAAAH9P/2g=")</f>
        <v>#REF!</v>
      </c>
      <c r="DB43" t="e">
        <f>AND(#REF!,"AAAAAH9P/2k=")</f>
        <v>#REF!</v>
      </c>
      <c r="DC43" t="e">
        <f>AND(#REF!,"AAAAAH9P/2o=")</f>
        <v>#REF!</v>
      </c>
      <c r="DD43" t="e">
        <f>AND(#REF!,"AAAAAH9P/2s=")</f>
        <v>#REF!</v>
      </c>
      <c r="DE43" t="e">
        <f>AND(#REF!,"AAAAAH9P/2w=")</f>
        <v>#REF!</v>
      </c>
      <c r="DF43" t="e">
        <f>AND(#REF!,"AAAAAH9P/20=")</f>
        <v>#REF!</v>
      </c>
      <c r="DG43" t="e">
        <f>AND(#REF!,"AAAAAH9P/24=")</f>
        <v>#REF!</v>
      </c>
      <c r="DH43" t="e">
        <f>AND(#REF!,"AAAAAH9P/28=")</f>
        <v>#REF!</v>
      </c>
      <c r="DI43" t="e">
        <f>AND(#REF!,"AAAAAH9P/3A=")</f>
        <v>#REF!</v>
      </c>
      <c r="DJ43" t="e">
        <f>AND(#REF!,"AAAAAH9P/3E=")</f>
        <v>#REF!</v>
      </c>
      <c r="DK43" t="e">
        <f>AND(#REF!,"AAAAAH9P/3I=")</f>
        <v>#REF!</v>
      </c>
      <c r="DL43" t="e">
        <f>AND(#REF!,"AAAAAH9P/3M=")</f>
        <v>#REF!</v>
      </c>
      <c r="DM43" t="e">
        <f>AND(#REF!,"AAAAAH9P/3Q=")</f>
        <v>#REF!</v>
      </c>
      <c r="DN43" t="e">
        <f>AND(#REF!,"AAAAAH9P/3U=")</f>
        <v>#REF!</v>
      </c>
      <c r="DO43" t="e">
        <f>AND(#REF!,"AAAAAH9P/3Y=")</f>
        <v>#REF!</v>
      </c>
      <c r="DP43" t="e">
        <f>AND(#REF!,"AAAAAH9P/3c=")</f>
        <v>#REF!</v>
      </c>
      <c r="DQ43" t="e">
        <f>AND(#REF!,"AAAAAH9P/3g=")</f>
        <v>#REF!</v>
      </c>
      <c r="DR43" t="e">
        <f>AND(#REF!,"AAAAAH9P/3k=")</f>
        <v>#REF!</v>
      </c>
      <c r="DS43" t="e">
        <f>IF(#REF!,"AAAAAH9P/3o=",0)</f>
        <v>#REF!</v>
      </c>
      <c r="DT43" t="e">
        <f>AND(#REF!,"AAAAAH9P/3s=")</f>
        <v>#REF!</v>
      </c>
      <c r="DU43" t="e">
        <f>AND(#REF!,"AAAAAH9P/3w=")</f>
        <v>#REF!</v>
      </c>
      <c r="DV43" t="e">
        <f>AND(#REF!,"AAAAAH9P/30=")</f>
        <v>#REF!</v>
      </c>
      <c r="DW43" t="e">
        <f>AND(#REF!,"AAAAAH9P/34=")</f>
        <v>#REF!</v>
      </c>
      <c r="DX43" t="e">
        <f>AND(#REF!,"AAAAAH9P/38=")</f>
        <v>#REF!</v>
      </c>
      <c r="DY43" t="e">
        <f>AND(#REF!,"AAAAAH9P/4A=")</f>
        <v>#REF!</v>
      </c>
      <c r="DZ43" t="e">
        <f>AND(#REF!,"AAAAAH9P/4E=")</f>
        <v>#REF!</v>
      </c>
      <c r="EA43" t="e">
        <f>AND(#REF!,"AAAAAH9P/4I=")</f>
        <v>#REF!</v>
      </c>
      <c r="EB43" t="e">
        <f>AND(#REF!,"AAAAAH9P/4M=")</f>
        <v>#REF!</v>
      </c>
      <c r="EC43" t="e">
        <f>AND(#REF!,"AAAAAH9P/4Q=")</f>
        <v>#REF!</v>
      </c>
      <c r="ED43" t="e">
        <f>AND(#REF!,"AAAAAH9P/4U=")</f>
        <v>#REF!</v>
      </c>
      <c r="EE43" t="e">
        <f>AND(#REF!,"AAAAAH9P/4Y=")</f>
        <v>#REF!</v>
      </c>
      <c r="EF43" t="e">
        <f>AND(#REF!,"AAAAAH9P/4c=")</f>
        <v>#REF!</v>
      </c>
      <c r="EG43" t="e">
        <f>AND(#REF!,"AAAAAH9P/4g=")</f>
        <v>#REF!</v>
      </c>
      <c r="EH43" t="e">
        <f>AND(#REF!,"AAAAAH9P/4k=")</f>
        <v>#REF!</v>
      </c>
      <c r="EI43" t="e">
        <f>AND(#REF!,"AAAAAH9P/4o=")</f>
        <v>#REF!</v>
      </c>
      <c r="EJ43" t="e">
        <f>AND(#REF!,"AAAAAH9P/4s=")</f>
        <v>#REF!</v>
      </c>
      <c r="EK43" t="e">
        <f>AND(#REF!,"AAAAAH9P/4w=")</f>
        <v>#REF!</v>
      </c>
      <c r="EL43" t="e">
        <f>AND(#REF!,"AAAAAH9P/40=")</f>
        <v>#REF!</v>
      </c>
      <c r="EM43" t="e">
        <f>AND(#REF!,"AAAAAH9P/44=")</f>
        <v>#REF!</v>
      </c>
      <c r="EN43" t="e">
        <f>AND(#REF!,"AAAAAH9P/48=")</f>
        <v>#REF!</v>
      </c>
      <c r="EO43" t="e">
        <f>AND(#REF!,"AAAAAH9P/5A=")</f>
        <v>#REF!</v>
      </c>
      <c r="EP43" t="e">
        <f>AND(#REF!,"AAAAAH9P/5E=")</f>
        <v>#REF!</v>
      </c>
      <c r="EQ43" t="e">
        <f>AND(#REF!,"AAAAAH9P/5I=")</f>
        <v>#REF!</v>
      </c>
      <c r="ER43" t="e">
        <f>AND(#REF!,"AAAAAH9P/5M=")</f>
        <v>#REF!</v>
      </c>
      <c r="ES43" t="e">
        <f>AND(#REF!,"AAAAAH9P/5Q=")</f>
        <v>#REF!</v>
      </c>
      <c r="ET43" t="e">
        <f>IF(#REF!,"AAAAAH9P/5U=",0)</f>
        <v>#REF!</v>
      </c>
      <c r="EU43" t="e">
        <f>AND(#REF!,"AAAAAH9P/5Y=")</f>
        <v>#REF!</v>
      </c>
      <c r="EV43" t="e">
        <f>AND(#REF!,"AAAAAH9P/5c=")</f>
        <v>#REF!</v>
      </c>
      <c r="EW43" t="e">
        <f>AND(#REF!,"AAAAAH9P/5g=")</f>
        <v>#REF!</v>
      </c>
      <c r="EX43" t="e">
        <f>AND(#REF!,"AAAAAH9P/5k=")</f>
        <v>#REF!</v>
      </c>
      <c r="EY43" t="e">
        <f>AND(#REF!,"AAAAAH9P/5o=")</f>
        <v>#REF!</v>
      </c>
      <c r="EZ43" t="e">
        <f>AND(#REF!,"AAAAAH9P/5s=")</f>
        <v>#REF!</v>
      </c>
      <c r="FA43" t="e">
        <f>AND(#REF!,"AAAAAH9P/5w=")</f>
        <v>#REF!</v>
      </c>
      <c r="FB43" t="e">
        <f>AND(#REF!,"AAAAAH9P/50=")</f>
        <v>#REF!</v>
      </c>
      <c r="FC43" t="e">
        <f>AND(#REF!,"AAAAAH9P/54=")</f>
        <v>#REF!</v>
      </c>
      <c r="FD43" t="e">
        <f>AND(#REF!,"AAAAAH9P/58=")</f>
        <v>#REF!</v>
      </c>
      <c r="FE43" t="e">
        <f>AND(#REF!,"AAAAAH9P/6A=")</f>
        <v>#REF!</v>
      </c>
      <c r="FF43" t="e">
        <f>AND(#REF!,"AAAAAH9P/6E=")</f>
        <v>#REF!</v>
      </c>
      <c r="FG43" t="e">
        <f>AND(#REF!,"AAAAAH9P/6I=")</f>
        <v>#REF!</v>
      </c>
      <c r="FH43" t="e">
        <f>AND(#REF!,"AAAAAH9P/6M=")</f>
        <v>#REF!</v>
      </c>
      <c r="FI43" t="e">
        <f>AND(#REF!,"AAAAAH9P/6Q=")</f>
        <v>#REF!</v>
      </c>
      <c r="FJ43" t="e">
        <f>AND(#REF!,"AAAAAH9P/6U=")</f>
        <v>#REF!</v>
      </c>
      <c r="FK43" t="e">
        <f>AND(#REF!,"AAAAAH9P/6Y=")</f>
        <v>#REF!</v>
      </c>
      <c r="FL43" t="e">
        <f>AND(#REF!,"AAAAAH9P/6c=")</f>
        <v>#REF!</v>
      </c>
      <c r="FM43" t="e">
        <f>AND(#REF!,"AAAAAH9P/6g=")</f>
        <v>#REF!</v>
      </c>
      <c r="FN43" t="e">
        <f>AND(#REF!,"AAAAAH9P/6k=")</f>
        <v>#REF!</v>
      </c>
      <c r="FO43" t="e">
        <f>AND(#REF!,"AAAAAH9P/6o=")</f>
        <v>#REF!</v>
      </c>
      <c r="FP43" t="e">
        <f>AND(#REF!,"AAAAAH9P/6s=")</f>
        <v>#REF!</v>
      </c>
      <c r="FQ43" t="e">
        <f>AND(#REF!,"AAAAAH9P/6w=")</f>
        <v>#REF!</v>
      </c>
      <c r="FR43" t="e">
        <f>AND(#REF!,"AAAAAH9P/60=")</f>
        <v>#REF!</v>
      </c>
      <c r="FS43" t="e">
        <f>AND(#REF!,"AAAAAH9P/64=")</f>
        <v>#REF!</v>
      </c>
      <c r="FT43" t="e">
        <f>AND(#REF!,"AAAAAH9P/68=")</f>
        <v>#REF!</v>
      </c>
      <c r="FU43" t="e">
        <f>IF(#REF!,"AAAAAH9P/7A=",0)</f>
        <v>#REF!</v>
      </c>
      <c r="FV43" t="e">
        <f>AND(#REF!,"AAAAAH9P/7E=")</f>
        <v>#REF!</v>
      </c>
      <c r="FW43" t="e">
        <f>AND(#REF!,"AAAAAH9P/7I=")</f>
        <v>#REF!</v>
      </c>
      <c r="FX43" t="e">
        <f>AND(#REF!,"AAAAAH9P/7M=")</f>
        <v>#REF!</v>
      </c>
      <c r="FY43" t="e">
        <f>AND(#REF!,"AAAAAH9P/7Q=")</f>
        <v>#REF!</v>
      </c>
      <c r="FZ43" t="e">
        <f>AND(#REF!,"AAAAAH9P/7U=")</f>
        <v>#REF!</v>
      </c>
      <c r="GA43" t="e">
        <f>AND(#REF!,"AAAAAH9P/7Y=")</f>
        <v>#REF!</v>
      </c>
      <c r="GB43" t="e">
        <f>AND(#REF!,"AAAAAH9P/7c=")</f>
        <v>#REF!</v>
      </c>
      <c r="GC43" t="e">
        <f>AND(#REF!,"AAAAAH9P/7g=")</f>
        <v>#REF!</v>
      </c>
      <c r="GD43" t="e">
        <f>AND(#REF!,"AAAAAH9P/7k=")</f>
        <v>#REF!</v>
      </c>
      <c r="GE43" t="e">
        <f>AND(#REF!,"AAAAAH9P/7o=")</f>
        <v>#REF!</v>
      </c>
      <c r="GF43" t="e">
        <f>AND(#REF!,"AAAAAH9P/7s=")</f>
        <v>#REF!</v>
      </c>
      <c r="GG43" t="e">
        <f>AND(#REF!,"AAAAAH9P/7w=")</f>
        <v>#REF!</v>
      </c>
      <c r="GH43" t="e">
        <f>AND(#REF!,"AAAAAH9P/70=")</f>
        <v>#REF!</v>
      </c>
      <c r="GI43" t="e">
        <f>AND(#REF!,"AAAAAH9P/74=")</f>
        <v>#REF!</v>
      </c>
      <c r="GJ43" t="e">
        <f>AND(#REF!,"AAAAAH9P/78=")</f>
        <v>#REF!</v>
      </c>
      <c r="GK43" t="e">
        <f>AND(#REF!,"AAAAAH9P/8A=")</f>
        <v>#REF!</v>
      </c>
      <c r="GL43" t="e">
        <f>AND(#REF!,"AAAAAH9P/8E=")</f>
        <v>#REF!</v>
      </c>
      <c r="GM43" t="e">
        <f>AND(#REF!,"AAAAAH9P/8I=")</f>
        <v>#REF!</v>
      </c>
      <c r="GN43" t="e">
        <f>AND(#REF!,"AAAAAH9P/8M=")</f>
        <v>#REF!</v>
      </c>
      <c r="GO43" t="e">
        <f>AND(#REF!,"AAAAAH9P/8Q=")</f>
        <v>#REF!</v>
      </c>
      <c r="GP43" t="e">
        <f>AND(#REF!,"AAAAAH9P/8U=")</f>
        <v>#REF!</v>
      </c>
      <c r="GQ43" t="e">
        <f>AND(#REF!,"AAAAAH9P/8Y=")</f>
        <v>#REF!</v>
      </c>
      <c r="GR43" t="e">
        <f>AND(#REF!,"AAAAAH9P/8c=")</f>
        <v>#REF!</v>
      </c>
      <c r="GS43" t="e">
        <f>AND(#REF!,"AAAAAH9P/8g=")</f>
        <v>#REF!</v>
      </c>
      <c r="GT43" t="e">
        <f>AND(#REF!,"AAAAAH9P/8k=")</f>
        <v>#REF!</v>
      </c>
      <c r="GU43" t="e">
        <f>AND(#REF!,"AAAAAH9P/8o=")</f>
        <v>#REF!</v>
      </c>
      <c r="GV43" t="e">
        <f>IF(#REF!,"AAAAAH9P/8s=",0)</f>
        <v>#REF!</v>
      </c>
      <c r="GW43" t="e">
        <f>AND(#REF!,"AAAAAH9P/8w=")</f>
        <v>#REF!</v>
      </c>
      <c r="GX43" t="e">
        <f>AND(#REF!,"AAAAAH9P/80=")</f>
        <v>#REF!</v>
      </c>
      <c r="GY43" t="e">
        <f>AND(#REF!,"AAAAAH9P/84=")</f>
        <v>#REF!</v>
      </c>
      <c r="GZ43" t="e">
        <f>AND(#REF!,"AAAAAH9P/88=")</f>
        <v>#REF!</v>
      </c>
      <c r="HA43" t="e">
        <f>AND(#REF!,"AAAAAH9P/9A=")</f>
        <v>#REF!</v>
      </c>
      <c r="HB43" t="e">
        <f>AND(#REF!,"AAAAAH9P/9E=")</f>
        <v>#REF!</v>
      </c>
      <c r="HC43" t="e">
        <f>AND(#REF!,"AAAAAH9P/9I=")</f>
        <v>#REF!</v>
      </c>
      <c r="HD43" t="e">
        <f>AND(#REF!,"AAAAAH9P/9M=")</f>
        <v>#REF!</v>
      </c>
      <c r="HE43" t="e">
        <f>AND(#REF!,"AAAAAH9P/9Q=")</f>
        <v>#REF!</v>
      </c>
      <c r="HF43" t="e">
        <f>AND(#REF!,"AAAAAH9P/9U=")</f>
        <v>#REF!</v>
      </c>
      <c r="HG43" t="e">
        <f>AND(#REF!,"AAAAAH9P/9Y=")</f>
        <v>#REF!</v>
      </c>
      <c r="HH43" t="e">
        <f>AND(#REF!,"AAAAAH9P/9c=")</f>
        <v>#REF!</v>
      </c>
      <c r="HI43" t="e">
        <f>AND(#REF!,"AAAAAH9P/9g=")</f>
        <v>#REF!</v>
      </c>
      <c r="HJ43" t="e">
        <f>AND(#REF!,"AAAAAH9P/9k=")</f>
        <v>#REF!</v>
      </c>
      <c r="HK43" t="e">
        <f>AND(#REF!,"AAAAAH9P/9o=")</f>
        <v>#REF!</v>
      </c>
      <c r="HL43" t="e">
        <f>AND(#REF!,"AAAAAH9P/9s=")</f>
        <v>#REF!</v>
      </c>
      <c r="HM43" t="e">
        <f>AND(#REF!,"AAAAAH9P/9w=")</f>
        <v>#REF!</v>
      </c>
      <c r="HN43" t="e">
        <f>AND(#REF!,"AAAAAH9P/90=")</f>
        <v>#REF!</v>
      </c>
      <c r="HO43" t="e">
        <f>AND(#REF!,"AAAAAH9P/94=")</f>
        <v>#REF!</v>
      </c>
      <c r="HP43" t="e">
        <f>AND(#REF!,"AAAAAH9P/98=")</f>
        <v>#REF!</v>
      </c>
      <c r="HQ43" t="e">
        <f>AND(#REF!,"AAAAAH9P/+A=")</f>
        <v>#REF!</v>
      </c>
      <c r="HR43" t="e">
        <f>AND(#REF!,"AAAAAH9P/+E=")</f>
        <v>#REF!</v>
      </c>
      <c r="HS43" t="e">
        <f>AND(#REF!,"AAAAAH9P/+I=")</f>
        <v>#REF!</v>
      </c>
      <c r="HT43" t="e">
        <f>AND(#REF!,"AAAAAH9P/+M=")</f>
        <v>#REF!</v>
      </c>
      <c r="HU43" t="e">
        <f>AND(#REF!,"AAAAAH9P/+Q=")</f>
        <v>#REF!</v>
      </c>
      <c r="HV43" t="e">
        <f>AND(#REF!,"AAAAAH9P/+U=")</f>
        <v>#REF!</v>
      </c>
      <c r="HW43" t="e">
        <f>IF(#REF!,"AAAAAH9P/+Y=",0)</f>
        <v>#REF!</v>
      </c>
      <c r="HX43" t="e">
        <f>AND(#REF!,"AAAAAH9P/+c=")</f>
        <v>#REF!</v>
      </c>
      <c r="HY43" t="e">
        <f>AND(#REF!,"AAAAAH9P/+g=")</f>
        <v>#REF!</v>
      </c>
      <c r="HZ43" t="e">
        <f>AND(#REF!,"AAAAAH9P/+k=")</f>
        <v>#REF!</v>
      </c>
      <c r="IA43" t="e">
        <f>AND(#REF!,"AAAAAH9P/+o=")</f>
        <v>#REF!</v>
      </c>
      <c r="IB43" t="e">
        <f>AND(#REF!,"AAAAAH9P/+s=")</f>
        <v>#REF!</v>
      </c>
      <c r="IC43" t="e">
        <f>AND(#REF!,"AAAAAH9P/+w=")</f>
        <v>#REF!</v>
      </c>
      <c r="ID43" t="e">
        <f>AND(#REF!,"AAAAAH9P/+0=")</f>
        <v>#REF!</v>
      </c>
      <c r="IE43" t="e">
        <f>AND(#REF!,"AAAAAH9P/+4=")</f>
        <v>#REF!</v>
      </c>
      <c r="IF43" t="e">
        <f>AND(#REF!,"AAAAAH9P/+8=")</f>
        <v>#REF!</v>
      </c>
      <c r="IG43" t="e">
        <f>AND(#REF!,"AAAAAH9P//A=")</f>
        <v>#REF!</v>
      </c>
      <c r="IH43" t="e">
        <f>AND(#REF!,"AAAAAH9P//E=")</f>
        <v>#REF!</v>
      </c>
      <c r="II43" t="e">
        <f>AND(#REF!,"AAAAAH9P//I=")</f>
        <v>#REF!</v>
      </c>
      <c r="IJ43" t="e">
        <f>AND(#REF!,"AAAAAH9P//M=")</f>
        <v>#REF!</v>
      </c>
      <c r="IK43" t="e">
        <f>AND(#REF!,"AAAAAH9P//Q=")</f>
        <v>#REF!</v>
      </c>
      <c r="IL43" t="e">
        <f>AND(#REF!,"AAAAAH9P//U=")</f>
        <v>#REF!</v>
      </c>
      <c r="IM43" t="e">
        <f>AND(#REF!,"AAAAAH9P//Y=")</f>
        <v>#REF!</v>
      </c>
      <c r="IN43" t="e">
        <f>AND(#REF!,"AAAAAH9P//c=")</f>
        <v>#REF!</v>
      </c>
      <c r="IO43" t="e">
        <f>AND(#REF!,"AAAAAH9P//g=")</f>
        <v>#REF!</v>
      </c>
      <c r="IP43" t="e">
        <f>AND(#REF!,"AAAAAH9P//k=")</f>
        <v>#REF!</v>
      </c>
      <c r="IQ43" t="e">
        <f>AND(#REF!,"AAAAAH9P//o=")</f>
        <v>#REF!</v>
      </c>
      <c r="IR43" t="e">
        <f>AND(#REF!,"AAAAAH9P//s=")</f>
        <v>#REF!</v>
      </c>
      <c r="IS43" t="e">
        <f>AND(#REF!,"AAAAAH9P//w=")</f>
        <v>#REF!</v>
      </c>
      <c r="IT43" t="e">
        <f>AND(#REF!,"AAAAAH9P//0=")</f>
        <v>#REF!</v>
      </c>
      <c r="IU43" t="e">
        <f>AND(#REF!,"AAAAAH9P//4=")</f>
        <v>#REF!</v>
      </c>
      <c r="IV43" t="e">
        <f>AND(#REF!,"AAAAAH9P//8=")</f>
        <v>#REF!</v>
      </c>
    </row>
    <row r="44" spans="1:256" x14ac:dyDescent="0.2">
      <c r="A44" t="e">
        <f>AND(#REF!,"AAAAAD/R/wA=")</f>
        <v>#REF!</v>
      </c>
      <c r="B44" t="e">
        <f>IF(#REF!,"AAAAAD/R/wE=",0)</f>
        <v>#REF!</v>
      </c>
      <c r="C44" t="e">
        <f>AND(#REF!,"AAAAAD/R/wI=")</f>
        <v>#REF!</v>
      </c>
      <c r="D44" t="e">
        <f>AND(#REF!,"AAAAAD/R/wM=")</f>
        <v>#REF!</v>
      </c>
      <c r="E44" t="e">
        <f>AND(#REF!,"AAAAAD/R/wQ=")</f>
        <v>#REF!</v>
      </c>
      <c r="F44" t="e">
        <f>AND(#REF!,"AAAAAD/R/wU=")</f>
        <v>#REF!</v>
      </c>
      <c r="G44" t="e">
        <f>AND(#REF!,"AAAAAD/R/wY=")</f>
        <v>#REF!</v>
      </c>
      <c r="H44" t="e">
        <f>AND(#REF!,"AAAAAD/R/wc=")</f>
        <v>#REF!</v>
      </c>
      <c r="I44" t="e">
        <f>AND(#REF!,"AAAAAD/R/wg=")</f>
        <v>#REF!</v>
      </c>
      <c r="J44" t="e">
        <f>AND(#REF!,"AAAAAD/R/wk=")</f>
        <v>#REF!</v>
      </c>
      <c r="K44" t="e">
        <f>AND(#REF!,"AAAAAD/R/wo=")</f>
        <v>#REF!</v>
      </c>
      <c r="L44" t="e">
        <f>AND(#REF!,"AAAAAD/R/ws=")</f>
        <v>#REF!</v>
      </c>
      <c r="M44" t="e">
        <f>AND(#REF!,"AAAAAD/R/ww=")</f>
        <v>#REF!</v>
      </c>
      <c r="N44" t="e">
        <f>AND(#REF!,"AAAAAD/R/w0=")</f>
        <v>#REF!</v>
      </c>
      <c r="O44" t="e">
        <f>AND(#REF!,"AAAAAD/R/w4=")</f>
        <v>#REF!</v>
      </c>
      <c r="P44" t="e">
        <f>AND(#REF!,"AAAAAD/R/w8=")</f>
        <v>#REF!</v>
      </c>
      <c r="Q44" t="e">
        <f>AND(#REF!,"AAAAAD/R/xA=")</f>
        <v>#REF!</v>
      </c>
      <c r="R44" t="e">
        <f>AND(#REF!,"AAAAAD/R/xE=")</f>
        <v>#REF!</v>
      </c>
      <c r="S44" t="e">
        <f>AND(#REF!,"AAAAAD/R/xI=")</f>
        <v>#REF!</v>
      </c>
      <c r="T44" t="e">
        <f>AND(#REF!,"AAAAAD/R/xM=")</f>
        <v>#REF!</v>
      </c>
      <c r="U44" t="e">
        <f>AND(#REF!,"AAAAAD/R/xQ=")</f>
        <v>#REF!</v>
      </c>
      <c r="V44" t="e">
        <f>AND(#REF!,"AAAAAD/R/xU=")</f>
        <v>#REF!</v>
      </c>
      <c r="W44" t="e">
        <f>AND(#REF!,"AAAAAD/R/xY=")</f>
        <v>#REF!</v>
      </c>
      <c r="X44" t="e">
        <f>AND(#REF!,"AAAAAD/R/xc=")</f>
        <v>#REF!</v>
      </c>
      <c r="Y44" t="e">
        <f>AND(#REF!,"AAAAAD/R/xg=")</f>
        <v>#REF!</v>
      </c>
      <c r="Z44" t="e">
        <f>AND(#REF!,"AAAAAD/R/xk=")</f>
        <v>#REF!</v>
      </c>
      <c r="AA44" t="e">
        <f>AND(#REF!,"AAAAAD/R/xo=")</f>
        <v>#REF!</v>
      </c>
      <c r="AB44" t="e">
        <f>AND(#REF!,"AAAAAD/R/xs=")</f>
        <v>#REF!</v>
      </c>
      <c r="AC44" t="e">
        <f>IF(#REF!,"AAAAAD/R/xw=",0)</f>
        <v>#REF!</v>
      </c>
      <c r="AD44" t="e">
        <f>AND(#REF!,"AAAAAD/R/x0=")</f>
        <v>#REF!</v>
      </c>
      <c r="AE44" t="e">
        <f>AND(#REF!,"AAAAAD/R/x4=")</f>
        <v>#REF!</v>
      </c>
      <c r="AF44" t="e">
        <f>AND(#REF!,"AAAAAD/R/x8=")</f>
        <v>#REF!</v>
      </c>
      <c r="AG44" t="e">
        <f>AND(#REF!,"AAAAAD/R/yA=")</f>
        <v>#REF!</v>
      </c>
      <c r="AH44" t="e">
        <f>AND(#REF!,"AAAAAD/R/yE=")</f>
        <v>#REF!</v>
      </c>
      <c r="AI44" t="e">
        <f>AND(#REF!,"AAAAAD/R/yI=")</f>
        <v>#REF!</v>
      </c>
      <c r="AJ44" t="e">
        <f>AND(#REF!,"AAAAAD/R/yM=")</f>
        <v>#REF!</v>
      </c>
      <c r="AK44" t="e">
        <f>AND(#REF!,"AAAAAD/R/yQ=")</f>
        <v>#REF!</v>
      </c>
      <c r="AL44" t="e">
        <f>AND(#REF!,"AAAAAD/R/yU=")</f>
        <v>#REF!</v>
      </c>
      <c r="AM44" t="e">
        <f>AND(#REF!,"AAAAAD/R/yY=")</f>
        <v>#REF!</v>
      </c>
      <c r="AN44" t="e">
        <f>AND(#REF!,"AAAAAD/R/yc=")</f>
        <v>#REF!</v>
      </c>
      <c r="AO44" t="e">
        <f>AND(#REF!,"AAAAAD/R/yg=")</f>
        <v>#REF!</v>
      </c>
      <c r="AP44" t="e">
        <f>AND(#REF!,"AAAAAD/R/yk=")</f>
        <v>#REF!</v>
      </c>
      <c r="AQ44" t="e">
        <f>AND(#REF!,"AAAAAD/R/yo=")</f>
        <v>#REF!</v>
      </c>
      <c r="AR44" t="e">
        <f>AND(#REF!,"AAAAAD/R/ys=")</f>
        <v>#REF!</v>
      </c>
      <c r="AS44" t="e">
        <f>AND(#REF!,"AAAAAD/R/yw=")</f>
        <v>#REF!</v>
      </c>
      <c r="AT44" t="e">
        <f>AND(#REF!,"AAAAAD/R/y0=")</f>
        <v>#REF!</v>
      </c>
      <c r="AU44" t="e">
        <f>AND(#REF!,"AAAAAD/R/y4=")</f>
        <v>#REF!</v>
      </c>
      <c r="AV44" t="e">
        <f>AND(#REF!,"AAAAAD/R/y8=")</f>
        <v>#REF!</v>
      </c>
      <c r="AW44" t="e">
        <f>AND(#REF!,"AAAAAD/R/zA=")</f>
        <v>#REF!</v>
      </c>
      <c r="AX44" t="e">
        <f>AND(#REF!,"AAAAAD/R/zE=")</f>
        <v>#REF!</v>
      </c>
      <c r="AY44" t="e">
        <f>AND(#REF!,"AAAAAD/R/zI=")</f>
        <v>#REF!</v>
      </c>
      <c r="AZ44" t="e">
        <f>AND(#REF!,"AAAAAD/R/zM=")</f>
        <v>#REF!</v>
      </c>
      <c r="BA44" t="e">
        <f>AND(#REF!,"AAAAAD/R/zQ=")</f>
        <v>#REF!</v>
      </c>
      <c r="BB44" t="e">
        <f>AND(#REF!,"AAAAAD/R/zU=")</f>
        <v>#REF!</v>
      </c>
      <c r="BC44" t="e">
        <f>AND(#REF!,"AAAAAD/R/zY=")</f>
        <v>#REF!</v>
      </c>
      <c r="BD44" t="e">
        <f>IF(#REF!,"AAAAAD/R/zc=",0)</f>
        <v>#REF!</v>
      </c>
      <c r="BE44" t="e">
        <f>AND(#REF!,"AAAAAD/R/zg=")</f>
        <v>#REF!</v>
      </c>
      <c r="BF44" t="e">
        <f>AND(#REF!,"AAAAAD/R/zk=")</f>
        <v>#REF!</v>
      </c>
      <c r="BG44" t="e">
        <f>AND(#REF!,"AAAAAD/R/zo=")</f>
        <v>#REF!</v>
      </c>
      <c r="BH44" t="e">
        <f>AND(#REF!,"AAAAAD/R/zs=")</f>
        <v>#REF!</v>
      </c>
      <c r="BI44" t="e">
        <f>AND(#REF!,"AAAAAD/R/zw=")</f>
        <v>#REF!</v>
      </c>
      <c r="BJ44" t="e">
        <f>AND(#REF!,"AAAAAD/R/z0=")</f>
        <v>#REF!</v>
      </c>
      <c r="BK44" t="e">
        <f>AND(#REF!,"AAAAAD/R/z4=")</f>
        <v>#REF!</v>
      </c>
      <c r="BL44" t="e">
        <f>AND(#REF!,"AAAAAD/R/z8=")</f>
        <v>#REF!</v>
      </c>
      <c r="BM44" t="e">
        <f>AND(#REF!,"AAAAAD/R/0A=")</f>
        <v>#REF!</v>
      </c>
      <c r="BN44" t="e">
        <f>AND(#REF!,"AAAAAD/R/0E=")</f>
        <v>#REF!</v>
      </c>
      <c r="BO44" t="e">
        <f>AND(#REF!,"AAAAAD/R/0I=")</f>
        <v>#REF!</v>
      </c>
      <c r="BP44" t="e">
        <f>AND(#REF!,"AAAAAD/R/0M=")</f>
        <v>#REF!</v>
      </c>
      <c r="BQ44" t="e">
        <f>AND(#REF!,"AAAAAD/R/0Q=")</f>
        <v>#REF!</v>
      </c>
      <c r="BR44" t="e">
        <f>AND(#REF!,"AAAAAD/R/0U=")</f>
        <v>#REF!</v>
      </c>
      <c r="BS44" t="e">
        <f>AND(#REF!,"AAAAAD/R/0Y=")</f>
        <v>#REF!</v>
      </c>
      <c r="BT44" t="e">
        <f>AND(#REF!,"AAAAAD/R/0c=")</f>
        <v>#REF!</v>
      </c>
      <c r="BU44" t="e">
        <f>AND(#REF!,"AAAAAD/R/0g=")</f>
        <v>#REF!</v>
      </c>
      <c r="BV44" t="e">
        <f>AND(#REF!,"AAAAAD/R/0k=")</f>
        <v>#REF!</v>
      </c>
      <c r="BW44" t="e">
        <f>AND(#REF!,"AAAAAD/R/0o=")</f>
        <v>#REF!</v>
      </c>
      <c r="BX44" t="e">
        <f>AND(#REF!,"AAAAAD/R/0s=")</f>
        <v>#REF!</v>
      </c>
      <c r="BY44" t="e">
        <f>AND(#REF!,"AAAAAD/R/0w=")</f>
        <v>#REF!</v>
      </c>
      <c r="BZ44" t="e">
        <f>AND(#REF!,"AAAAAD/R/00=")</f>
        <v>#REF!</v>
      </c>
      <c r="CA44" t="e">
        <f>AND(#REF!,"AAAAAD/R/04=")</f>
        <v>#REF!</v>
      </c>
      <c r="CB44" t="e">
        <f>AND(#REF!,"AAAAAD/R/08=")</f>
        <v>#REF!</v>
      </c>
      <c r="CC44" t="e">
        <f>AND(#REF!,"AAAAAD/R/1A=")</f>
        <v>#REF!</v>
      </c>
      <c r="CD44" t="e">
        <f>AND(#REF!,"AAAAAD/R/1E=")</f>
        <v>#REF!</v>
      </c>
      <c r="CE44" t="e">
        <f>IF(#REF!,"AAAAAD/R/1I=",0)</f>
        <v>#REF!</v>
      </c>
      <c r="CF44" t="e">
        <f>AND(#REF!,"AAAAAD/R/1M=")</f>
        <v>#REF!</v>
      </c>
      <c r="CG44" t="e">
        <f>AND(#REF!,"AAAAAD/R/1Q=")</f>
        <v>#REF!</v>
      </c>
      <c r="CH44" t="e">
        <f>AND(#REF!,"AAAAAD/R/1U=")</f>
        <v>#REF!</v>
      </c>
      <c r="CI44" t="e">
        <f>AND(#REF!,"AAAAAD/R/1Y=")</f>
        <v>#REF!</v>
      </c>
      <c r="CJ44" t="e">
        <f>AND(#REF!,"AAAAAD/R/1c=")</f>
        <v>#REF!</v>
      </c>
      <c r="CK44" t="e">
        <f>AND(#REF!,"AAAAAD/R/1g=")</f>
        <v>#REF!</v>
      </c>
      <c r="CL44" t="e">
        <f>AND(#REF!,"AAAAAD/R/1k=")</f>
        <v>#REF!</v>
      </c>
      <c r="CM44" t="e">
        <f>AND(#REF!,"AAAAAD/R/1o=")</f>
        <v>#REF!</v>
      </c>
      <c r="CN44" t="e">
        <f>AND(#REF!,"AAAAAD/R/1s=")</f>
        <v>#REF!</v>
      </c>
      <c r="CO44" t="e">
        <f>AND(#REF!,"AAAAAD/R/1w=")</f>
        <v>#REF!</v>
      </c>
      <c r="CP44" t="e">
        <f>AND(#REF!,"AAAAAD/R/10=")</f>
        <v>#REF!</v>
      </c>
      <c r="CQ44" t="e">
        <f>AND(#REF!,"AAAAAD/R/14=")</f>
        <v>#REF!</v>
      </c>
      <c r="CR44" t="e">
        <f>AND(#REF!,"AAAAAD/R/18=")</f>
        <v>#REF!</v>
      </c>
      <c r="CS44" t="e">
        <f>AND(#REF!,"AAAAAD/R/2A=")</f>
        <v>#REF!</v>
      </c>
      <c r="CT44" t="e">
        <f>AND(#REF!,"AAAAAD/R/2E=")</f>
        <v>#REF!</v>
      </c>
      <c r="CU44" t="e">
        <f>AND(#REF!,"AAAAAD/R/2I=")</f>
        <v>#REF!</v>
      </c>
      <c r="CV44" t="e">
        <f>AND(#REF!,"AAAAAD/R/2M=")</f>
        <v>#REF!</v>
      </c>
      <c r="CW44" t="e">
        <f>AND(#REF!,"AAAAAD/R/2Q=")</f>
        <v>#REF!</v>
      </c>
      <c r="CX44" t="e">
        <f>AND(#REF!,"AAAAAD/R/2U=")</f>
        <v>#REF!</v>
      </c>
      <c r="CY44" t="e">
        <f>AND(#REF!,"AAAAAD/R/2Y=")</f>
        <v>#REF!</v>
      </c>
      <c r="CZ44" t="e">
        <f>AND(#REF!,"AAAAAD/R/2c=")</f>
        <v>#REF!</v>
      </c>
      <c r="DA44" t="e">
        <f>AND(#REF!,"AAAAAD/R/2g=")</f>
        <v>#REF!</v>
      </c>
      <c r="DB44" t="e">
        <f>AND(#REF!,"AAAAAD/R/2k=")</f>
        <v>#REF!</v>
      </c>
      <c r="DC44" t="e">
        <f>AND(#REF!,"AAAAAD/R/2o=")</f>
        <v>#REF!</v>
      </c>
      <c r="DD44" t="e">
        <f>AND(#REF!,"AAAAAD/R/2s=")</f>
        <v>#REF!</v>
      </c>
      <c r="DE44" t="e">
        <f>AND(#REF!,"AAAAAD/R/2w=")</f>
        <v>#REF!</v>
      </c>
      <c r="DF44" t="e">
        <f>IF(#REF!,"AAAAAD/R/20=",0)</f>
        <v>#REF!</v>
      </c>
      <c r="DG44" t="e">
        <f>AND(#REF!,"AAAAAD/R/24=")</f>
        <v>#REF!</v>
      </c>
      <c r="DH44" t="e">
        <f>AND(#REF!,"AAAAAD/R/28=")</f>
        <v>#REF!</v>
      </c>
      <c r="DI44" t="e">
        <f>AND(#REF!,"AAAAAD/R/3A=")</f>
        <v>#REF!</v>
      </c>
      <c r="DJ44" t="e">
        <f>AND(#REF!,"AAAAAD/R/3E=")</f>
        <v>#REF!</v>
      </c>
      <c r="DK44" t="e">
        <f>AND(#REF!,"AAAAAD/R/3I=")</f>
        <v>#REF!</v>
      </c>
      <c r="DL44" t="e">
        <f>AND(#REF!,"AAAAAD/R/3M=")</f>
        <v>#REF!</v>
      </c>
      <c r="DM44" t="e">
        <f>AND(#REF!,"AAAAAD/R/3Q=")</f>
        <v>#REF!</v>
      </c>
      <c r="DN44" t="e">
        <f>AND(#REF!,"AAAAAD/R/3U=")</f>
        <v>#REF!</v>
      </c>
      <c r="DO44" t="e">
        <f>AND(#REF!,"AAAAAD/R/3Y=")</f>
        <v>#REF!</v>
      </c>
      <c r="DP44" t="e">
        <f>AND(#REF!,"AAAAAD/R/3c=")</f>
        <v>#REF!</v>
      </c>
      <c r="DQ44" t="e">
        <f>AND(#REF!,"AAAAAD/R/3g=")</f>
        <v>#REF!</v>
      </c>
      <c r="DR44" t="e">
        <f>AND(#REF!,"AAAAAD/R/3k=")</f>
        <v>#REF!</v>
      </c>
      <c r="DS44" t="e">
        <f>AND(#REF!,"AAAAAD/R/3o=")</f>
        <v>#REF!</v>
      </c>
      <c r="DT44" t="e">
        <f>AND(#REF!,"AAAAAD/R/3s=")</f>
        <v>#REF!</v>
      </c>
      <c r="DU44" t="e">
        <f>AND(#REF!,"AAAAAD/R/3w=")</f>
        <v>#REF!</v>
      </c>
      <c r="DV44" t="e">
        <f>AND(#REF!,"AAAAAD/R/30=")</f>
        <v>#REF!</v>
      </c>
      <c r="DW44" t="e">
        <f>AND(#REF!,"AAAAAD/R/34=")</f>
        <v>#REF!</v>
      </c>
      <c r="DX44" t="e">
        <f>AND(#REF!,"AAAAAD/R/38=")</f>
        <v>#REF!</v>
      </c>
      <c r="DY44" t="e">
        <f>AND(#REF!,"AAAAAD/R/4A=")</f>
        <v>#REF!</v>
      </c>
      <c r="DZ44" t="e">
        <f>AND(#REF!,"AAAAAD/R/4E=")</f>
        <v>#REF!</v>
      </c>
      <c r="EA44" t="e">
        <f>AND(#REF!,"AAAAAD/R/4I=")</f>
        <v>#REF!</v>
      </c>
      <c r="EB44" t="e">
        <f>AND(#REF!,"AAAAAD/R/4M=")</f>
        <v>#REF!</v>
      </c>
      <c r="EC44" t="e">
        <f>AND(#REF!,"AAAAAD/R/4Q=")</f>
        <v>#REF!</v>
      </c>
      <c r="ED44" t="e">
        <f>AND(#REF!,"AAAAAD/R/4U=")</f>
        <v>#REF!</v>
      </c>
      <c r="EE44" t="e">
        <f>AND(#REF!,"AAAAAD/R/4Y=")</f>
        <v>#REF!</v>
      </c>
      <c r="EF44" t="e">
        <f>AND(#REF!,"AAAAAD/R/4c=")</f>
        <v>#REF!</v>
      </c>
      <c r="EG44" t="e">
        <f>IF(#REF!,"AAAAAD/R/4g=",0)</f>
        <v>#REF!</v>
      </c>
      <c r="EH44" t="e">
        <f>AND(#REF!,"AAAAAD/R/4k=")</f>
        <v>#REF!</v>
      </c>
      <c r="EI44" t="e">
        <f>AND(#REF!,"AAAAAD/R/4o=")</f>
        <v>#REF!</v>
      </c>
      <c r="EJ44" t="e">
        <f>AND(#REF!,"AAAAAD/R/4s=")</f>
        <v>#REF!</v>
      </c>
      <c r="EK44" t="e">
        <f>AND(#REF!,"AAAAAD/R/4w=")</f>
        <v>#REF!</v>
      </c>
      <c r="EL44" t="e">
        <f>AND(#REF!,"AAAAAD/R/40=")</f>
        <v>#REF!</v>
      </c>
      <c r="EM44" t="e">
        <f>AND(#REF!,"AAAAAD/R/44=")</f>
        <v>#REF!</v>
      </c>
      <c r="EN44" t="e">
        <f>AND(#REF!,"AAAAAD/R/48=")</f>
        <v>#REF!</v>
      </c>
      <c r="EO44" t="e">
        <f>AND(#REF!,"AAAAAD/R/5A=")</f>
        <v>#REF!</v>
      </c>
      <c r="EP44" t="e">
        <f>AND(#REF!,"AAAAAD/R/5E=")</f>
        <v>#REF!</v>
      </c>
      <c r="EQ44" t="e">
        <f>AND(#REF!,"AAAAAD/R/5I=")</f>
        <v>#REF!</v>
      </c>
      <c r="ER44" t="e">
        <f>AND(#REF!,"AAAAAD/R/5M=")</f>
        <v>#REF!</v>
      </c>
      <c r="ES44" t="e">
        <f>AND(#REF!,"AAAAAD/R/5Q=")</f>
        <v>#REF!</v>
      </c>
      <c r="ET44" t="e">
        <f>AND(#REF!,"AAAAAD/R/5U=")</f>
        <v>#REF!</v>
      </c>
      <c r="EU44" t="e">
        <f>AND(#REF!,"AAAAAD/R/5Y=")</f>
        <v>#REF!</v>
      </c>
      <c r="EV44" t="e">
        <f>AND(#REF!,"AAAAAD/R/5c=")</f>
        <v>#REF!</v>
      </c>
      <c r="EW44" t="e">
        <f>AND(#REF!,"AAAAAD/R/5g=")</f>
        <v>#REF!</v>
      </c>
      <c r="EX44" t="e">
        <f>AND(#REF!,"AAAAAD/R/5k=")</f>
        <v>#REF!</v>
      </c>
      <c r="EY44" t="e">
        <f>AND(#REF!,"AAAAAD/R/5o=")</f>
        <v>#REF!</v>
      </c>
      <c r="EZ44" t="e">
        <f>AND(#REF!,"AAAAAD/R/5s=")</f>
        <v>#REF!</v>
      </c>
      <c r="FA44" t="e">
        <f>AND(#REF!,"AAAAAD/R/5w=")</f>
        <v>#REF!</v>
      </c>
      <c r="FB44" t="e">
        <f>AND(#REF!,"AAAAAD/R/50=")</f>
        <v>#REF!</v>
      </c>
      <c r="FC44" t="e">
        <f>AND(#REF!,"AAAAAD/R/54=")</f>
        <v>#REF!</v>
      </c>
      <c r="FD44" t="e">
        <f>AND(#REF!,"AAAAAD/R/58=")</f>
        <v>#REF!</v>
      </c>
      <c r="FE44" t="e">
        <f>AND(#REF!,"AAAAAD/R/6A=")</f>
        <v>#REF!</v>
      </c>
      <c r="FF44" t="e">
        <f>AND(#REF!,"AAAAAD/R/6E=")</f>
        <v>#REF!</v>
      </c>
      <c r="FG44" t="e">
        <f>AND(#REF!,"AAAAAD/R/6I=")</f>
        <v>#REF!</v>
      </c>
      <c r="FH44" t="e">
        <f>IF(#REF!,"AAAAAD/R/6M=",0)</f>
        <v>#REF!</v>
      </c>
      <c r="FI44" t="e">
        <f>AND(#REF!,"AAAAAD/R/6Q=")</f>
        <v>#REF!</v>
      </c>
      <c r="FJ44" t="e">
        <f>AND(#REF!,"AAAAAD/R/6U=")</f>
        <v>#REF!</v>
      </c>
      <c r="FK44" t="e">
        <f>AND(#REF!,"AAAAAD/R/6Y=")</f>
        <v>#REF!</v>
      </c>
      <c r="FL44" t="e">
        <f>AND(#REF!,"AAAAAD/R/6c=")</f>
        <v>#REF!</v>
      </c>
      <c r="FM44" t="e">
        <f>AND(#REF!,"AAAAAD/R/6g=")</f>
        <v>#REF!</v>
      </c>
      <c r="FN44" t="e">
        <f>AND(#REF!,"AAAAAD/R/6k=")</f>
        <v>#REF!</v>
      </c>
      <c r="FO44" t="e">
        <f>AND(#REF!,"AAAAAD/R/6o=")</f>
        <v>#REF!</v>
      </c>
      <c r="FP44" t="e">
        <f>AND(#REF!,"AAAAAD/R/6s=")</f>
        <v>#REF!</v>
      </c>
      <c r="FQ44" t="e">
        <f>AND(#REF!,"AAAAAD/R/6w=")</f>
        <v>#REF!</v>
      </c>
      <c r="FR44" t="e">
        <f>AND(#REF!,"AAAAAD/R/60=")</f>
        <v>#REF!</v>
      </c>
      <c r="FS44" t="e">
        <f>AND(#REF!,"AAAAAD/R/64=")</f>
        <v>#REF!</v>
      </c>
      <c r="FT44" t="e">
        <f>AND(#REF!,"AAAAAD/R/68=")</f>
        <v>#REF!</v>
      </c>
      <c r="FU44" t="e">
        <f>AND(#REF!,"AAAAAD/R/7A=")</f>
        <v>#REF!</v>
      </c>
      <c r="FV44" t="e">
        <f>AND(#REF!,"AAAAAD/R/7E=")</f>
        <v>#REF!</v>
      </c>
      <c r="FW44" t="e">
        <f>AND(#REF!,"AAAAAD/R/7I=")</f>
        <v>#REF!</v>
      </c>
      <c r="FX44" t="e">
        <f>AND(#REF!,"AAAAAD/R/7M=")</f>
        <v>#REF!</v>
      </c>
      <c r="FY44" t="e">
        <f>AND(#REF!,"AAAAAD/R/7Q=")</f>
        <v>#REF!</v>
      </c>
      <c r="FZ44" t="e">
        <f>AND(#REF!,"AAAAAD/R/7U=")</f>
        <v>#REF!</v>
      </c>
      <c r="GA44" t="e">
        <f>AND(#REF!,"AAAAAD/R/7Y=")</f>
        <v>#REF!</v>
      </c>
      <c r="GB44" t="e">
        <f>AND(#REF!,"AAAAAD/R/7c=")</f>
        <v>#REF!</v>
      </c>
      <c r="GC44" t="e">
        <f>AND(#REF!,"AAAAAD/R/7g=")</f>
        <v>#REF!</v>
      </c>
      <c r="GD44" t="e">
        <f>AND(#REF!,"AAAAAD/R/7k=")</f>
        <v>#REF!</v>
      </c>
      <c r="GE44" t="e">
        <f>AND(#REF!,"AAAAAD/R/7o=")</f>
        <v>#REF!</v>
      </c>
      <c r="GF44" t="e">
        <f>AND(#REF!,"AAAAAD/R/7s=")</f>
        <v>#REF!</v>
      </c>
      <c r="GG44" t="e">
        <f>AND(#REF!,"AAAAAD/R/7w=")</f>
        <v>#REF!</v>
      </c>
      <c r="GH44" t="e">
        <f>AND(#REF!,"AAAAAD/R/70=")</f>
        <v>#REF!</v>
      </c>
      <c r="GI44" t="e">
        <f>IF(#REF!,"AAAAAD/R/74=",0)</f>
        <v>#REF!</v>
      </c>
      <c r="GJ44" t="e">
        <f>IF(#REF!,"AAAAAD/R/78=",0)</f>
        <v>#REF!</v>
      </c>
      <c r="GK44" t="e">
        <f>IF(#REF!,"AAAAAD/R/8A=",0)</f>
        <v>#REF!</v>
      </c>
      <c r="GL44" t="e">
        <f>IF(#REF!,"AAAAAD/R/8E=",0)</f>
        <v>#REF!</v>
      </c>
      <c r="GM44" t="e">
        <f>IF(#REF!,"AAAAAD/R/8I=",0)</f>
        <v>#REF!</v>
      </c>
      <c r="GN44" t="e">
        <f>IF(#REF!,"AAAAAD/R/8M=",0)</f>
        <v>#REF!</v>
      </c>
      <c r="GO44" t="e">
        <f>IF(#REF!,"AAAAAD/R/8Q=",0)</f>
        <v>#REF!</v>
      </c>
      <c r="GP44" t="e">
        <f>IF(#REF!,"AAAAAD/R/8U=",0)</f>
        <v>#REF!</v>
      </c>
      <c r="GQ44" t="e">
        <f>IF(#REF!,"AAAAAD/R/8Y=",0)</f>
        <v>#REF!</v>
      </c>
      <c r="GR44" t="e">
        <f>IF(#REF!,"AAAAAD/R/8c=",0)</f>
        <v>#REF!</v>
      </c>
      <c r="GS44" t="e">
        <f>IF(#REF!,"AAAAAD/R/8g=",0)</f>
        <v>#REF!</v>
      </c>
      <c r="GT44" t="e">
        <f>IF(#REF!,"AAAAAD/R/8k=",0)</f>
        <v>#REF!</v>
      </c>
      <c r="GU44" t="e">
        <f>IF(#REF!,"AAAAAD/R/8o=",0)</f>
        <v>#REF!</v>
      </c>
      <c r="GV44" t="e">
        <f>IF(#REF!,"AAAAAD/R/8s=",0)</f>
        <v>#REF!</v>
      </c>
      <c r="GW44" t="e">
        <f>IF(#REF!,"AAAAAD/R/8w=",0)</f>
        <v>#REF!</v>
      </c>
      <c r="GX44" t="e">
        <f>IF(#REF!,"AAAAAD/R/80=",0)</f>
        <v>#REF!</v>
      </c>
      <c r="GY44" t="e">
        <f>IF(#REF!,"AAAAAD/R/84=",0)</f>
        <v>#REF!</v>
      </c>
      <c r="GZ44" t="e">
        <f>IF(#REF!,"AAAAAD/R/88=",0)</f>
        <v>#REF!</v>
      </c>
      <c r="HA44" t="e">
        <f>IF(#REF!,"AAAAAD/R/9A=",0)</f>
        <v>#REF!</v>
      </c>
      <c r="HB44" t="e">
        <f>IF(#REF!,"AAAAAD/R/9E=",0)</f>
        <v>#REF!</v>
      </c>
      <c r="HC44" t="e">
        <f>IF(#REF!,"AAAAAD/R/9I=",0)</f>
        <v>#REF!</v>
      </c>
      <c r="HD44" t="e">
        <f>IF(#REF!,"AAAAAD/R/9M=",0)</f>
        <v>#REF!</v>
      </c>
      <c r="HE44" t="e">
        <f>IF(#REF!,"AAAAAD/R/9Q=",0)</f>
        <v>#REF!</v>
      </c>
      <c r="HF44" t="e">
        <f>IF(#REF!,"AAAAAD/R/9U=",0)</f>
        <v>#REF!</v>
      </c>
      <c r="HG44" t="e">
        <f>IF(#REF!,"AAAAAD/R/9Y=",0)</f>
        <v>#REF!</v>
      </c>
      <c r="HH44" t="e">
        <f>IF(#REF!,"AAAAAD/R/9c=",0)</f>
        <v>#REF!</v>
      </c>
      <c r="HI44" t="e">
        <f>IF(#REF!,"AAAAAD/R/9g=",0)</f>
        <v>#REF!</v>
      </c>
      <c r="HJ44" t="e">
        <f>AND(#REF!,"AAAAAD/R/9k=")</f>
        <v>#REF!</v>
      </c>
      <c r="HK44" t="e">
        <f>AND(#REF!,"AAAAAD/R/9o=")</f>
        <v>#REF!</v>
      </c>
      <c r="HL44" t="e">
        <f>AND(#REF!,"AAAAAD/R/9s=")</f>
        <v>#REF!</v>
      </c>
      <c r="HM44" t="e">
        <f>AND(#REF!,"AAAAAD/R/9w=")</f>
        <v>#REF!</v>
      </c>
      <c r="HN44" t="e">
        <f>AND(#REF!,"AAAAAD/R/90=")</f>
        <v>#REF!</v>
      </c>
      <c r="HO44" t="e">
        <f>AND(#REF!,"AAAAAD/R/94=")</f>
        <v>#REF!</v>
      </c>
      <c r="HP44" t="e">
        <f>AND(#REF!,"AAAAAD/R/98=")</f>
        <v>#REF!</v>
      </c>
      <c r="HQ44" t="e">
        <f>AND(#REF!,"AAAAAD/R/+A=")</f>
        <v>#REF!</v>
      </c>
      <c r="HR44" t="e">
        <f>AND(#REF!,"AAAAAD/R/+E=")</f>
        <v>#REF!</v>
      </c>
      <c r="HS44" t="e">
        <f>AND(#REF!,"AAAAAD/R/+I=")</f>
        <v>#REF!</v>
      </c>
      <c r="HT44" t="e">
        <f>AND(#REF!,"AAAAAD/R/+M=")</f>
        <v>#REF!</v>
      </c>
      <c r="HU44" t="e">
        <f>AND(#REF!,"AAAAAD/R/+Q=")</f>
        <v>#REF!</v>
      </c>
      <c r="HV44" t="e">
        <f>AND(#REF!,"AAAAAD/R/+U=")</f>
        <v>#REF!</v>
      </c>
      <c r="HW44" t="e">
        <f>AND(#REF!,"AAAAAD/R/+Y=")</f>
        <v>#REF!</v>
      </c>
      <c r="HX44" t="e">
        <f>AND(#REF!,"AAAAAD/R/+c=")</f>
        <v>#REF!</v>
      </c>
      <c r="HY44" t="e">
        <f>AND(#REF!,"AAAAAD/R/+g=")</f>
        <v>#REF!</v>
      </c>
      <c r="HZ44" t="e">
        <f>AND(#REF!,"AAAAAD/R/+k=")</f>
        <v>#REF!</v>
      </c>
      <c r="IA44" t="e">
        <f>AND(#REF!,"AAAAAD/R/+o=")</f>
        <v>#REF!</v>
      </c>
      <c r="IB44" t="e">
        <f>AND(#REF!,"AAAAAD/R/+s=")</f>
        <v>#REF!</v>
      </c>
      <c r="IC44" t="e">
        <f>AND(#REF!,"AAAAAD/R/+w=")</f>
        <v>#REF!</v>
      </c>
      <c r="ID44" t="e">
        <f>AND(#REF!,"AAAAAD/R/+0=")</f>
        <v>#REF!</v>
      </c>
      <c r="IE44" t="e">
        <f>AND(#REF!,"AAAAAD/R/+4=")</f>
        <v>#REF!</v>
      </c>
      <c r="IF44" t="e">
        <f>AND(#REF!,"AAAAAD/R/+8=")</f>
        <v>#REF!</v>
      </c>
      <c r="IG44" t="e">
        <f>AND(#REF!,"AAAAAD/R//A=")</f>
        <v>#REF!</v>
      </c>
      <c r="IH44" t="e">
        <f>AND(#REF!,"AAAAAD/R//E=")</f>
        <v>#REF!</v>
      </c>
      <c r="II44" t="e">
        <f>AND(#REF!,"AAAAAD/R//I=")</f>
        <v>#REF!</v>
      </c>
      <c r="IJ44" t="e">
        <f>IF(#REF!,"AAAAAD/R//M=",0)</f>
        <v>#REF!</v>
      </c>
      <c r="IK44" t="e">
        <f>AND(#REF!,"AAAAAD/R//Q=")</f>
        <v>#REF!</v>
      </c>
      <c r="IL44" t="e">
        <f>AND(#REF!,"AAAAAD/R//U=")</f>
        <v>#REF!</v>
      </c>
      <c r="IM44" t="e">
        <f>AND(#REF!,"AAAAAD/R//Y=")</f>
        <v>#REF!</v>
      </c>
      <c r="IN44" t="e">
        <f>AND(#REF!,"AAAAAD/R//c=")</f>
        <v>#REF!</v>
      </c>
      <c r="IO44" t="e">
        <f>AND(#REF!,"AAAAAD/R//g=")</f>
        <v>#REF!</v>
      </c>
      <c r="IP44" t="e">
        <f>AND(#REF!,"AAAAAD/R//k=")</f>
        <v>#REF!</v>
      </c>
      <c r="IQ44" t="e">
        <f>AND(#REF!,"AAAAAD/R//o=")</f>
        <v>#REF!</v>
      </c>
      <c r="IR44" t="e">
        <f>AND(#REF!,"AAAAAD/R//s=")</f>
        <v>#REF!</v>
      </c>
      <c r="IS44" t="e">
        <f>AND(#REF!,"AAAAAD/R//w=")</f>
        <v>#REF!</v>
      </c>
      <c r="IT44" t="e">
        <f>AND(#REF!,"AAAAAD/R//0=")</f>
        <v>#REF!</v>
      </c>
      <c r="IU44" t="e">
        <f>AND(#REF!,"AAAAAD/R//4=")</f>
        <v>#REF!</v>
      </c>
      <c r="IV44" t="e">
        <f>AND(#REF!,"AAAAAD/R//8=")</f>
        <v>#REF!</v>
      </c>
    </row>
    <row r="45" spans="1:256" x14ac:dyDescent="0.2">
      <c r="A45" t="e">
        <f>AND(#REF!,"AAAAACf3dQA=")</f>
        <v>#REF!</v>
      </c>
      <c r="B45" t="e">
        <f>AND(#REF!,"AAAAACf3dQE=")</f>
        <v>#REF!</v>
      </c>
      <c r="C45" t="e">
        <f>AND(#REF!,"AAAAACf3dQI=")</f>
        <v>#REF!</v>
      </c>
      <c r="D45" t="e">
        <f>AND(#REF!,"AAAAACf3dQM=")</f>
        <v>#REF!</v>
      </c>
      <c r="E45" t="e">
        <f>AND(#REF!,"AAAAACf3dQQ=")</f>
        <v>#REF!</v>
      </c>
      <c r="F45" t="e">
        <f>AND(#REF!,"AAAAACf3dQU=")</f>
        <v>#REF!</v>
      </c>
      <c r="G45" t="e">
        <f>AND(#REF!,"AAAAACf3dQY=")</f>
        <v>#REF!</v>
      </c>
      <c r="H45" t="e">
        <f>AND(#REF!,"AAAAACf3dQc=")</f>
        <v>#REF!</v>
      </c>
      <c r="I45" t="e">
        <f>AND(#REF!,"AAAAACf3dQg=")</f>
        <v>#REF!</v>
      </c>
      <c r="J45" t="e">
        <f>AND(#REF!,"AAAAACf3dQk=")</f>
        <v>#REF!</v>
      </c>
      <c r="K45" t="e">
        <f>AND(#REF!,"AAAAACf3dQo=")</f>
        <v>#REF!</v>
      </c>
      <c r="L45" t="e">
        <f>AND(#REF!,"AAAAACf3dQs=")</f>
        <v>#REF!</v>
      </c>
      <c r="M45" t="e">
        <f>AND(#REF!,"AAAAACf3dQw=")</f>
        <v>#REF!</v>
      </c>
      <c r="N45" t="e">
        <f>AND(#REF!,"AAAAACf3dQ0=")</f>
        <v>#REF!</v>
      </c>
      <c r="O45" t="e">
        <f>IF(#REF!,"AAAAACf3dQ4=",0)</f>
        <v>#REF!</v>
      </c>
      <c r="P45" t="e">
        <f>AND(#REF!,"AAAAACf3dQ8=")</f>
        <v>#REF!</v>
      </c>
      <c r="Q45" t="e">
        <f>AND(#REF!,"AAAAACf3dRA=")</f>
        <v>#REF!</v>
      </c>
      <c r="R45" t="e">
        <f>AND(#REF!,"AAAAACf3dRE=")</f>
        <v>#REF!</v>
      </c>
      <c r="S45" t="e">
        <f>AND(#REF!,"AAAAACf3dRI=")</f>
        <v>#REF!</v>
      </c>
      <c r="T45" t="e">
        <f>AND(#REF!,"AAAAACf3dRM=")</f>
        <v>#REF!</v>
      </c>
      <c r="U45" t="e">
        <f>AND(#REF!,"AAAAACf3dRQ=")</f>
        <v>#REF!</v>
      </c>
      <c r="V45" t="e">
        <f>AND(#REF!,"AAAAACf3dRU=")</f>
        <v>#REF!</v>
      </c>
      <c r="W45" t="e">
        <f>AND(#REF!,"AAAAACf3dRY=")</f>
        <v>#REF!</v>
      </c>
      <c r="X45" t="e">
        <f>AND(#REF!,"AAAAACf3dRc=")</f>
        <v>#REF!</v>
      </c>
      <c r="Y45" t="e">
        <f>AND(#REF!,"AAAAACf3dRg=")</f>
        <v>#REF!</v>
      </c>
      <c r="Z45" t="e">
        <f>AND(#REF!,"AAAAACf3dRk=")</f>
        <v>#REF!</v>
      </c>
      <c r="AA45" t="e">
        <f>AND(#REF!,"AAAAACf3dRo=")</f>
        <v>#REF!</v>
      </c>
      <c r="AB45" t="e">
        <f>AND(#REF!,"AAAAACf3dRs=")</f>
        <v>#REF!</v>
      </c>
      <c r="AC45" t="e">
        <f>AND(#REF!,"AAAAACf3dRw=")</f>
        <v>#REF!</v>
      </c>
      <c r="AD45" t="e">
        <f>AND(#REF!,"AAAAACf3dR0=")</f>
        <v>#REF!</v>
      </c>
      <c r="AE45" t="e">
        <f>AND(#REF!,"AAAAACf3dR4=")</f>
        <v>#REF!</v>
      </c>
      <c r="AF45" t="e">
        <f>AND(#REF!,"AAAAACf3dR8=")</f>
        <v>#REF!</v>
      </c>
      <c r="AG45" t="e">
        <f>AND(#REF!,"AAAAACf3dSA=")</f>
        <v>#REF!</v>
      </c>
      <c r="AH45" t="e">
        <f>AND(#REF!,"AAAAACf3dSE=")</f>
        <v>#REF!</v>
      </c>
      <c r="AI45" t="e">
        <f>AND(#REF!,"AAAAACf3dSI=")</f>
        <v>#REF!</v>
      </c>
      <c r="AJ45" t="e">
        <f>AND(#REF!,"AAAAACf3dSM=")</f>
        <v>#REF!</v>
      </c>
      <c r="AK45" t="e">
        <f>AND(#REF!,"AAAAACf3dSQ=")</f>
        <v>#REF!</v>
      </c>
      <c r="AL45" t="e">
        <f>AND(#REF!,"AAAAACf3dSU=")</f>
        <v>#REF!</v>
      </c>
      <c r="AM45" t="e">
        <f>AND(#REF!,"AAAAACf3dSY=")</f>
        <v>#REF!</v>
      </c>
      <c r="AN45" t="e">
        <f>AND(#REF!,"AAAAACf3dSc=")</f>
        <v>#REF!</v>
      </c>
      <c r="AO45" t="e">
        <f>AND(#REF!,"AAAAACf3dSg=")</f>
        <v>#REF!</v>
      </c>
      <c r="AP45" t="e">
        <f>IF(#REF!,"AAAAACf3dSk=",0)</f>
        <v>#REF!</v>
      </c>
      <c r="AQ45" t="e">
        <f>AND(#REF!,"AAAAACf3dSo=")</f>
        <v>#REF!</v>
      </c>
      <c r="AR45" t="e">
        <f>AND(#REF!,"AAAAACf3dSs=")</f>
        <v>#REF!</v>
      </c>
      <c r="AS45" t="e">
        <f>AND(#REF!,"AAAAACf3dSw=")</f>
        <v>#REF!</v>
      </c>
      <c r="AT45" t="e">
        <f>AND(#REF!,"AAAAACf3dS0=")</f>
        <v>#REF!</v>
      </c>
      <c r="AU45" t="e">
        <f>AND(#REF!,"AAAAACf3dS4=")</f>
        <v>#REF!</v>
      </c>
      <c r="AV45" t="e">
        <f>AND(#REF!,"AAAAACf3dS8=")</f>
        <v>#REF!</v>
      </c>
      <c r="AW45" t="e">
        <f>AND(#REF!,"AAAAACf3dTA=")</f>
        <v>#REF!</v>
      </c>
      <c r="AX45" t="e">
        <f>AND(#REF!,"AAAAACf3dTE=")</f>
        <v>#REF!</v>
      </c>
      <c r="AY45" t="e">
        <f>AND(#REF!,"AAAAACf3dTI=")</f>
        <v>#REF!</v>
      </c>
      <c r="AZ45" t="e">
        <f>AND(#REF!,"AAAAACf3dTM=")</f>
        <v>#REF!</v>
      </c>
      <c r="BA45" t="e">
        <f>AND(#REF!,"AAAAACf3dTQ=")</f>
        <v>#REF!</v>
      </c>
      <c r="BB45" t="e">
        <f>AND(#REF!,"AAAAACf3dTU=")</f>
        <v>#REF!</v>
      </c>
      <c r="BC45" t="e">
        <f>AND(#REF!,"AAAAACf3dTY=")</f>
        <v>#REF!</v>
      </c>
      <c r="BD45" t="e">
        <f>AND(#REF!,"AAAAACf3dTc=")</f>
        <v>#REF!</v>
      </c>
      <c r="BE45" t="e">
        <f>AND(#REF!,"AAAAACf3dTg=")</f>
        <v>#REF!</v>
      </c>
      <c r="BF45" t="e">
        <f>AND(#REF!,"AAAAACf3dTk=")</f>
        <v>#REF!</v>
      </c>
      <c r="BG45" t="e">
        <f>AND(#REF!,"AAAAACf3dTo=")</f>
        <v>#REF!</v>
      </c>
      <c r="BH45" t="e">
        <f>AND(#REF!,"AAAAACf3dTs=")</f>
        <v>#REF!</v>
      </c>
      <c r="BI45" t="e">
        <f>AND(#REF!,"AAAAACf3dTw=")</f>
        <v>#REF!</v>
      </c>
      <c r="BJ45" t="e">
        <f>AND(#REF!,"AAAAACf3dT0=")</f>
        <v>#REF!</v>
      </c>
      <c r="BK45" t="e">
        <f>AND(#REF!,"AAAAACf3dT4=")</f>
        <v>#REF!</v>
      </c>
      <c r="BL45" t="e">
        <f>AND(#REF!,"AAAAACf3dT8=")</f>
        <v>#REF!</v>
      </c>
      <c r="BM45" t="e">
        <f>AND(#REF!,"AAAAACf3dUA=")</f>
        <v>#REF!</v>
      </c>
      <c r="BN45" t="e">
        <f>AND(#REF!,"AAAAACf3dUE=")</f>
        <v>#REF!</v>
      </c>
      <c r="BO45" t="e">
        <f>AND(#REF!,"AAAAACf3dUI=")</f>
        <v>#REF!</v>
      </c>
      <c r="BP45" t="e">
        <f>AND(#REF!,"AAAAACf3dUM=")</f>
        <v>#REF!</v>
      </c>
      <c r="BQ45" t="e">
        <f>IF(#REF!,"AAAAACf3dUQ=",0)</f>
        <v>#REF!</v>
      </c>
      <c r="BR45" t="e">
        <f>AND(#REF!,"AAAAACf3dUU=")</f>
        <v>#REF!</v>
      </c>
      <c r="BS45" t="e">
        <f>AND(#REF!,"AAAAACf3dUY=")</f>
        <v>#REF!</v>
      </c>
      <c r="BT45" t="e">
        <f>AND(#REF!,"AAAAACf3dUc=")</f>
        <v>#REF!</v>
      </c>
      <c r="BU45" t="e">
        <f>AND(#REF!,"AAAAACf3dUg=")</f>
        <v>#REF!</v>
      </c>
      <c r="BV45" t="e">
        <f>AND(#REF!,"AAAAACf3dUk=")</f>
        <v>#REF!</v>
      </c>
      <c r="BW45" t="e">
        <f>AND(#REF!,"AAAAACf3dUo=")</f>
        <v>#REF!</v>
      </c>
      <c r="BX45" t="e">
        <f>AND(#REF!,"AAAAACf3dUs=")</f>
        <v>#REF!</v>
      </c>
      <c r="BY45" t="e">
        <f>AND(#REF!,"AAAAACf3dUw=")</f>
        <v>#REF!</v>
      </c>
      <c r="BZ45" t="e">
        <f>AND(#REF!,"AAAAACf3dU0=")</f>
        <v>#REF!</v>
      </c>
      <c r="CA45" t="e">
        <f>AND(#REF!,"AAAAACf3dU4=")</f>
        <v>#REF!</v>
      </c>
      <c r="CB45" t="e">
        <f>AND(#REF!,"AAAAACf3dU8=")</f>
        <v>#REF!</v>
      </c>
      <c r="CC45" t="e">
        <f>AND(#REF!,"AAAAACf3dVA=")</f>
        <v>#REF!</v>
      </c>
      <c r="CD45" t="e">
        <f>AND(#REF!,"AAAAACf3dVE=")</f>
        <v>#REF!</v>
      </c>
      <c r="CE45" t="e">
        <f>AND(#REF!,"AAAAACf3dVI=")</f>
        <v>#REF!</v>
      </c>
      <c r="CF45" t="e">
        <f>AND(#REF!,"AAAAACf3dVM=")</f>
        <v>#REF!</v>
      </c>
      <c r="CG45" t="e">
        <f>AND(#REF!,"AAAAACf3dVQ=")</f>
        <v>#REF!</v>
      </c>
      <c r="CH45" t="e">
        <f>AND(#REF!,"AAAAACf3dVU=")</f>
        <v>#REF!</v>
      </c>
      <c r="CI45" t="e">
        <f>AND(#REF!,"AAAAACf3dVY=")</f>
        <v>#REF!</v>
      </c>
      <c r="CJ45" t="e">
        <f>AND(#REF!,"AAAAACf3dVc=")</f>
        <v>#REF!</v>
      </c>
      <c r="CK45" t="e">
        <f>AND(#REF!,"AAAAACf3dVg=")</f>
        <v>#REF!</v>
      </c>
      <c r="CL45" t="e">
        <f>AND(#REF!,"AAAAACf3dVk=")</f>
        <v>#REF!</v>
      </c>
      <c r="CM45" t="e">
        <f>AND(#REF!,"AAAAACf3dVo=")</f>
        <v>#REF!</v>
      </c>
      <c r="CN45" t="e">
        <f>AND(#REF!,"AAAAACf3dVs=")</f>
        <v>#REF!</v>
      </c>
      <c r="CO45" t="e">
        <f>AND(#REF!,"AAAAACf3dVw=")</f>
        <v>#REF!</v>
      </c>
      <c r="CP45" t="e">
        <f>AND(#REF!,"AAAAACf3dV0=")</f>
        <v>#REF!</v>
      </c>
      <c r="CQ45" t="e">
        <f>AND(#REF!,"AAAAACf3dV4=")</f>
        <v>#REF!</v>
      </c>
      <c r="CR45" t="e">
        <f>IF(#REF!,"AAAAACf3dV8=",0)</f>
        <v>#REF!</v>
      </c>
      <c r="CS45" t="e">
        <f>AND(#REF!,"AAAAACf3dWA=")</f>
        <v>#REF!</v>
      </c>
      <c r="CT45" t="e">
        <f>AND(#REF!,"AAAAACf3dWE=")</f>
        <v>#REF!</v>
      </c>
      <c r="CU45" t="e">
        <f>AND(#REF!,"AAAAACf3dWI=")</f>
        <v>#REF!</v>
      </c>
      <c r="CV45" t="e">
        <f>AND(#REF!,"AAAAACf3dWM=")</f>
        <v>#REF!</v>
      </c>
      <c r="CW45" t="e">
        <f>AND(#REF!,"AAAAACf3dWQ=")</f>
        <v>#REF!</v>
      </c>
      <c r="CX45" t="e">
        <f>AND(#REF!,"AAAAACf3dWU=")</f>
        <v>#REF!</v>
      </c>
      <c r="CY45" t="e">
        <f>AND(#REF!,"AAAAACf3dWY=")</f>
        <v>#REF!</v>
      </c>
      <c r="CZ45" t="e">
        <f>AND(#REF!,"AAAAACf3dWc=")</f>
        <v>#REF!</v>
      </c>
      <c r="DA45" t="e">
        <f>AND(#REF!,"AAAAACf3dWg=")</f>
        <v>#REF!</v>
      </c>
      <c r="DB45" t="e">
        <f>AND(#REF!,"AAAAACf3dWk=")</f>
        <v>#REF!</v>
      </c>
      <c r="DC45" t="e">
        <f>AND(#REF!,"AAAAACf3dWo=")</f>
        <v>#REF!</v>
      </c>
      <c r="DD45" t="e">
        <f>AND(#REF!,"AAAAACf3dWs=")</f>
        <v>#REF!</v>
      </c>
      <c r="DE45" t="e">
        <f>AND(#REF!,"AAAAACf3dWw=")</f>
        <v>#REF!</v>
      </c>
      <c r="DF45" t="e">
        <f>AND(#REF!,"AAAAACf3dW0=")</f>
        <v>#REF!</v>
      </c>
      <c r="DG45" t="e">
        <f>AND(#REF!,"AAAAACf3dW4=")</f>
        <v>#REF!</v>
      </c>
      <c r="DH45" t="e">
        <f>AND(#REF!,"AAAAACf3dW8=")</f>
        <v>#REF!</v>
      </c>
      <c r="DI45" t="e">
        <f>AND(#REF!,"AAAAACf3dXA=")</f>
        <v>#REF!</v>
      </c>
      <c r="DJ45" t="e">
        <f>AND(#REF!,"AAAAACf3dXE=")</f>
        <v>#REF!</v>
      </c>
      <c r="DK45" t="e">
        <f>AND(#REF!,"AAAAACf3dXI=")</f>
        <v>#REF!</v>
      </c>
      <c r="DL45" t="e">
        <f>AND(#REF!,"AAAAACf3dXM=")</f>
        <v>#REF!</v>
      </c>
      <c r="DM45" t="e">
        <f>AND(#REF!,"AAAAACf3dXQ=")</f>
        <v>#REF!</v>
      </c>
      <c r="DN45" t="e">
        <f>AND(#REF!,"AAAAACf3dXU=")</f>
        <v>#REF!</v>
      </c>
      <c r="DO45" t="e">
        <f>AND(#REF!,"AAAAACf3dXY=")</f>
        <v>#REF!</v>
      </c>
      <c r="DP45" t="e">
        <f>AND(#REF!,"AAAAACf3dXc=")</f>
        <v>#REF!</v>
      </c>
      <c r="DQ45" t="e">
        <f>AND(#REF!,"AAAAACf3dXg=")</f>
        <v>#REF!</v>
      </c>
      <c r="DR45" t="e">
        <f>AND(#REF!,"AAAAACf3dXk=")</f>
        <v>#REF!</v>
      </c>
      <c r="DS45" t="e">
        <f>IF(#REF!,"AAAAACf3dXo=",0)</f>
        <v>#REF!</v>
      </c>
      <c r="DT45" t="e">
        <f>AND(#REF!,"AAAAACf3dXs=")</f>
        <v>#REF!</v>
      </c>
      <c r="DU45" t="e">
        <f>AND(#REF!,"AAAAACf3dXw=")</f>
        <v>#REF!</v>
      </c>
      <c r="DV45" t="e">
        <f>AND(#REF!,"AAAAACf3dX0=")</f>
        <v>#REF!</v>
      </c>
      <c r="DW45" t="e">
        <f>AND(#REF!,"AAAAACf3dX4=")</f>
        <v>#REF!</v>
      </c>
      <c r="DX45" t="e">
        <f>AND(#REF!,"AAAAACf3dX8=")</f>
        <v>#REF!</v>
      </c>
      <c r="DY45" t="e">
        <f>AND(#REF!,"AAAAACf3dYA=")</f>
        <v>#REF!</v>
      </c>
      <c r="DZ45" t="e">
        <f>AND(#REF!,"AAAAACf3dYE=")</f>
        <v>#REF!</v>
      </c>
      <c r="EA45" t="e">
        <f>AND(#REF!,"AAAAACf3dYI=")</f>
        <v>#REF!</v>
      </c>
      <c r="EB45" t="e">
        <f>AND(#REF!,"AAAAACf3dYM=")</f>
        <v>#REF!</v>
      </c>
      <c r="EC45" t="e">
        <f>AND(#REF!,"AAAAACf3dYQ=")</f>
        <v>#REF!</v>
      </c>
      <c r="ED45" t="e">
        <f>AND(#REF!,"AAAAACf3dYU=")</f>
        <v>#REF!</v>
      </c>
      <c r="EE45" t="e">
        <f>AND(#REF!,"AAAAACf3dYY=")</f>
        <v>#REF!</v>
      </c>
      <c r="EF45" t="e">
        <f>AND(#REF!,"AAAAACf3dYc=")</f>
        <v>#REF!</v>
      </c>
      <c r="EG45" t="e">
        <f>AND(#REF!,"AAAAACf3dYg=")</f>
        <v>#REF!</v>
      </c>
      <c r="EH45" t="e">
        <f>AND(#REF!,"AAAAACf3dYk=")</f>
        <v>#REF!</v>
      </c>
      <c r="EI45" t="e">
        <f>AND(#REF!,"AAAAACf3dYo=")</f>
        <v>#REF!</v>
      </c>
      <c r="EJ45" t="e">
        <f>AND(#REF!,"AAAAACf3dYs=")</f>
        <v>#REF!</v>
      </c>
      <c r="EK45" t="e">
        <f>AND(#REF!,"AAAAACf3dYw=")</f>
        <v>#REF!</v>
      </c>
      <c r="EL45" t="e">
        <f>AND(#REF!,"AAAAACf3dY0=")</f>
        <v>#REF!</v>
      </c>
      <c r="EM45" t="e">
        <f>AND(#REF!,"AAAAACf3dY4=")</f>
        <v>#REF!</v>
      </c>
      <c r="EN45" t="e">
        <f>AND(#REF!,"AAAAACf3dY8=")</f>
        <v>#REF!</v>
      </c>
      <c r="EO45" t="e">
        <f>AND(#REF!,"AAAAACf3dZA=")</f>
        <v>#REF!</v>
      </c>
      <c r="EP45" t="e">
        <f>AND(#REF!,"AAAAACf3dZE=")</f>
        <v>#REF!</v>
      </c>
      <c r="EQ45" t="e">
        <f>AND(#REF!,"AAAAACf3dZI=")</f>
        <v>#REF!</v>
      </c>
      <c r="ER45" t="e">
        <f>AND(#REF!,"AAAAACf3dZM=")</f>
        <v>#REF!</v>
      </c>
      <c r="ES45" t="e">
        <f>AND(#REF!,"AAAAACf3dZQ=")</f>
        <v>#REF!</v>
      </c>
      <c r="ET45" t="e">
        <f>IF(#REF!,"AAAAACf3dZU=",0)</f>
        <v>#REF!</v>
      </c>
      <c r="EU45" t="e">
        <f>AND(#REF!,"AAAAACf3dZY=")</f>
        <v>#REF!</v>
      </c>
      <c r="EV45" t="e">
        <f>AND(#REF!,"AAAAACf3dZc=")</f>
        <v>#REF!</v>
      </c>
      <c r="EW45" t="e">
        <f>AND(#REF!,"AAAAACf3dZg=")</f>
        <v>#REF!</v>
      </c>
      <c r="EX45" t="e">
        <f>AND(#REF!,"AAAAACf3dZk=")</f>
        <v>#REF!</v>
      </c>
      <c r="EY45" t="e">
        <f>AND(#REF!,"AAAAACf3dZo=")</f>
        <v>#REF!</v>
      </c>
      <c r="EZ45" t="e">
        <f>AND(#REF!,"AAAAACf3dZs=")</f>
        <v>#REF!</v>
      </c>
      <c r="FA45" t="e">
        <f>AND(#REF!,"AAAAACf3dZw=")</f>
        <v>#REF!</v>
      </c>
      <c r="FB45" t="e">
        <f>AND(#REF!,"AAAAACf3dZ0=")</f>
        <v>#REF!</v>
      </c>
      <c r="FC45" t="e">
        <f>AND(#REF!,"AAAAACf3dZ4=")</f>
        <v>#REF!</v>
      </c>
      <c r="FD45" t="e">
        <f>AND(#REF!,"AAAAACf3dZ8=")</f>
        <v>#REF!</v>
      </c>
      <c r="FE45" t="e">
        <f>AND(#REF!,"AAAAACf3daA=")</f>
        <v>#REF!</v>
      </c>
      <c r="FF45" t="e">
        <f>AND(#REF!,"AAAAACf3daE=")</f>
        <v>#REF!</v>
      </c>
      <c r="FG45" t="e">
        <f>AND(#REF!,"AAAAACf3daI=")</f>
        <v>#REF!</v>
      </c>
      <c r="FH45" t="e">
        <f>AND(#REF!,"AAAAACf3daM=")</f>
        <v>#REF!</v>
      </c>
      <c r="FI45" t="e">
        <f>AND(#REF!,"AAAAACf3daQ=")</f>
        <v>#REF!</v>
      </c>
      <c r="FJ45" t="e">
        <f>AND(#REF!,"AAAAACf3daU=")</f>
        <v>#REF!</v>
      </c>
      <c r="FK45" t="e">
        <f>AND(#REF!,"AAAAACf3daY=")</f>
        <v>#REF!</v>
      </c>
      <c r="FL45" t="e">
        <f>AND(#REF!,"AAAAACf3dac=")</f>
        <v>#REF!</v>
      </c>
      <c r="FM45" t="e">
        <f>AND(#REF!,"AAAAACf3dag=")</f>
        <v>#REF!</v>
      </c>
      <c r="FN45" t="e">
        <f>AND(#REF!,"AAAAACf3dak=")</f>
        <v>#REF!</v>
      </c>
      <c r="FO45" t="e">
        <f>AND(#REF!,"AAAAACf3dao=")</f>
        <v>#REF!</v>
      </c>
      <c r="FP45" t="e">
        <f>AND(#REF!,"AAAAACf3das=")</f>
        <v>#REF!</v>
      </c>
      <c r="FQ45" t="e">
        <f>AND(#REF!,"AAAAACf3daw=")</f>
        <v>#REF!</v>
      </c>
      <c r="FR45" t="e">
        <f>AND(#REF!,"AAAAACf3da0=")</f>
        <v>#REF!</v>
      </c>
      <c r="FS45" t="e">
        <f>AND(#REF!,"AAAAACf3da4=")</f>
        <v>#REF!</v>
      </c>
      <c r="FT45" t="e">
        <f>AND(#REF!,"AAAAACf3da8=")</f>
        <v>#REF!</v>
      </c>
      <c r="FU45" t="e">
        <f>IF(#REF!,"AAAAACf3dbA=",0)</f>
        <v>#REF!</v>
      </c>
      <c r="FV45" t="e">
        <f>AND(#REF!,"AAAAACf3dbE=")</f>
        <v>#REF!</v>
      </c>
      <c r="FW45" t="e">
        <f>AND(#REF!,"AAAAACf3dbI=")</f>
        <v>#REF!</v>
      </c>
      <c r="FX45" t="e">
        <f>AND(#REF!,"AAAAACf3dbM=")</f>
        <v>#REF!</v>
      </c>
      <c r="FY45" t="e">
        <f>AND(#REF!,"AAAAACf3dbQ=")</f>
        <v>#REF!</v>
      </c>
      <c r="FZ45" t="e">
        <f>AND(#REF!,"AAAAACf3dbU=")</f>
        <v>#REF!</v>
      </c>
      <c r="GA45" t="e">
        <f>AND(#REF!,"AAAAACf3dbY=")</f>
        <v>#REF!</v>
      </c>
      <c r="GB45" t="e">
        <f>AND(#REF!,"AAAAACf3dbc=")</f>
        <v>#REF!</v>
      </c>
      <c r="GC45" t="e">
        <f>AND(#REF!,"AAAAACf3dbg=")</f>
        <v>#REF!</v>
      </c>
      <c r="GD45" t="e">
        <f>AND(#REF!,"AAAAACf3dbk=")</f>
        <v>#REF!</v>
      </c>
      <c r="GE45" t="e">
        <f>AND(#REF!,"AAAAACf3dbo=")</f>
        <v>#REF!</v>
      </c>
      <c r="GF45" t="e">
        <f>AND(#REF!,"AAAAACf3dbs=")</f>
        <v>#REF!</v>
      </c>
      <c r="GG45" t="e">
        <f>AND(#REF!,"AAAAACf3dbw=")</f>
        <v>#REF!</v>
      </c>
      <c r="GH45" t="e">
        <f>AND(#REF!,"AAAAACf3db0=")</f>
        <v>#REF!</v>
      </c>
      <c r="GI45" t="e">
        <f>AND(#REF!,"AAAAACf3db4=")</f>
        <v>#REF!</v>
      </c>
      <c r="GJ45" t="e">
        <f>AND(#REF!,"AAAAACf3db8=")</f>
        <v>#REF!</v>
      </c>
      <c r="GK45" t="e">
        <f>AND(#REF!,"AAAAACf3dcA=")</f>
        <v>#REF!</v>
      </c>
      <c r="GL45" t="e">
        <f>AND(#REF!,"AAAAACf3dcE=")</f>
        <v>#REF!</v>
      </c>
      <c r="GM45" t="e">
        <f>AND(#REF!,"AAAAACf3dcI=")</f>
        <v>#REF!</v>
      </c>
      <c r="GN45" t="e">
        <f>AND(#REF!,"AAAAACf3dcM=")</f>
        <v>#REF!</v>
      </c>
      <c r="GO45" t="e">
        <f>AND(#REF!,"AAAAACf3dcQ=")</f>
        <v>#REF!</v>
      </c>
      <c r="GP45" t="e">
        <f>AND(#REF!,"AAAAACf3dcU=")</f>
        <v>#REF!</v>
      </c>
      <c r="GQ45" t="e">
        <f>AND(#REF!,"AAAAACf3dcY=")</f>
        <v>#REF!</v>
      </c>
      <c r="GR45" t="e">
        <f>AND(#REF!,"AAAAACf3dcc=")</f>
        <v>#REF!</v>
      </c>
      <c r="GS45" t="e">
        <f>AND(#REF!,"AAAAACf3dcg=")</f>
        <v>#REF!</v>
      </c>
      <c r="GT45" t="e">
        <f>AND(#REF!,"AAAAACf3dck=")</f>
        <v>#REF!</v>
      </c>
      <c r="GU45" t="e">
        <f>AND(#REF!,"AAAAACf3dco=")</f>
        <v>#REF!</v>
      </c>
      <c r="GV45" t="e">
        <f>IF(#REF!,"AAAAACf3dcs=",0)</f>
        <v>#REF!</v>
      </c>
      <c r="GW45" t="e">
        <f>AND(#REF!,"AAAAACf3dcw=")</f>
        <v>#REF!</v>
      </c>
      <c r="GX45" t="e">
        <f>AND(#REF!,"AAAAACf3dc0=")</f>
        <v>#REF!</v>
      </c>
      <c r="GY45" t="e">
        <f>AND(#REF!,"AAAAACf3dc4=")</f>
        <v>#REF!</v>
      </c>
      <c r="GZ45" t="e">
        <f>AND(#REF!,"AAAAACf3dc8=")</f>
        <v>#REF!</v>
      </c>
      <c r="HA45" t="e">
        <f>AND(#REF!,"AAAAACf3ddA=")</f>
        <v>#REF!</v>
      </c>
      <c r="HB45" t="e">
        <f>AND(#REF!,"AAAAACf3ddE=")</f>
        <v>#REF!</v>
      </c>
      <c r="HC45" t="e">
        <f>AND(#REF!,"AAAAACf3ddI=")</f>
        <v>#REF!</v>
      </c>
      <c r="HD45" t="e">
        <f>AND(#REF!,"AAAAACf3ddM=")</f>
        <v>#REF!</v>
      </c>
      <c r="HE45" t="e">
        <f>AND(#REF!,"AAAAACf3ddQ=")</f>
        <v>#REF!</v>
      </c>
      <c r="HF45" t="e">
        <f>AND(#REF!,"AAAAACf3ddU=")</f>
        <v>#REF!</v>
      </c>
      <c r="HG45" t="e">
        <f>AND(#REF!,"AAAAACf3ddY=")</f>
        <v>#REF!</v>
      </c>
      <c r="HH45" t="e">
        <f>AND(#REF!,"AAAAACf3ddc=")</f>
        <v>#REF!</v>
      </c>
      <c r="HI45" t="e">
        <f>AND(#REF!,"AAAAACf3ddg=")</f>
        <v>#REF!</v>
      </c>
      <c r="HJ45" t="e">
        <f>AND(#REF!,"AAAAACf3ddk=")</f>
        <v>#REF!</v>
      </c>
      <c r="HK45" t="e">
        <f>AND(#REF!,"AAAAACf3ddo=")</f>
        <v>#REF!</v>
      </c>
      <c r="HL45" t="e">
        <f>AND(#REF!,"AAAAACf3dds=")</f>
        <v>#REF!</v>
      </c>
      <c r="HM45" t="e">
        <f>AND(#REF!,"AAAAACf3ddw=")</f>
        <v>#REF!</v>
      </c>
      <c r="HN45" t="e">
        <f>AND(#REF!,"AAAAACf3dd0=")</f>
        <v>#REF!</v>
      </c>
      <c r="HO45" t="e">
        <f>AND(#REF!,"AAAAACf3dd4=")</f>
        <v>#REF!</v>
      </c>
      <c r="HP45" t="e">
        <f>AND(#REF!,"AAAAACf3dd8=")</f>
        <v>#REF!</v>
      </c>
      <c r="HQ45" t="e">
        <f>AND(#REF!,"AAAAACf3deA=")</f>
        <v>#REF!</v>
      </c>
      <c r="HR45" t="e">
        <f>AND(#REF!,"AAAAACf3deE=")</f>
        <v>#REF!</v>
      </c>
      <c r="HS45" t="e">
        <f>AND(#REF!,"AAAAACf3deI=")</f>
        <v>#REF!</v>
      </c>
      <c r="HT45" t="e">
        <f>AND(#REF!,"AAAAACf3deM=")</f>
        <v>#REF!</v>
      </c>
      <c r="HU45" t="e">
        <f>AND(#REF!,"AAAAACf3deQ=")</f>
        <v>#REF!</v>
      </c>
      <c r="HV45" t="e">
        <f>AND(#REF!,"AAAAACf3deU=")</f>
        <v>#REF!</v>
      </c>
      <c r="HW45" t="e">
        <f>IF(#REF!,"AAAAACf3deY=",0)</f>
        <v>#REF!</v>
      </c>
      <c r="HX45" t="e">
        <f>AND(#REF!,"AAAAACf3dec=")</f>
        <v>#REF!</v>
      </c>
      <c r="HY45" t="e">
        <f>AND(#REF!,"AAAAACf3deg=")</f>
        <v>#REF!</v>
      </c>
      <c r="HZ45" t="e">
        <f>AND(#REF!,"AAAAACf3dek=")</f>
        <v>#REF!</v>
      </c>
      <c r="IA45" t="e">
        <f>AND(#REF!,"AAAAACf3deo=")</f>
        <v>#REF!</v>
      </c>
      <c r="IB45" t="e">
        <f>AND(#REF!,"AAAAACf3des=")</f>
        <v>#REF!</v>
      </c>
      <c r="IC45" t="e">
        <f>AND(#REF!,"AAAAACf3dew=")</f>
        <v>#REF!</v>
      </c>
      <c r="ID45" t="e">
        <f>AND(#REF!,"AAAAACf3de0=")</f>
        <v>#REF!</v>
      </c>
      <c r="IE45" t="e">
        <f>AND(#REF!,"AAAAACf3de4=")</f>
        <v>#REF!</v>
      </c>
      <c r="IF45" t="e">
        <f>AND(#REF!,"AAAAACf3de8=")</f>
        <v>#REF!</v>
      </c>
      <c r="IG45" t="e">
        <f>AND(#REF!,"AAAAACf3dfA=")</f>
        <v>#REF!</v>
      </c>
      <c r="IH45" t="e">
        <f>AND(#REF!,"AAAAACf3dfE=")</f>
        <v>#REF!</v>
      </c>
      <c r="II45" t="e">
        <f>AND(#REF!,"AAAAACf3dfI=")</f>
        <v>#REF!</v>
      </c>
      <c r="IJ45" t="e">
        <f>AND(#REF!,"AAAAACf3dfM=")</f>
        <v>#REF!</v>
      </c>
      <c r="IK45" t="e">
        <f>AND(#REF!,"AAAAACf3dfQ=")</f>
        <v>#REF!</v>
      </c>
      <c r="IL45" t="e">
        <f>AND(#REF!,"AAAAACf3dfU=")</f>
        <v>#REF!</v>
      </c>
      <c r="IM45" t="e">
        <f>AND(#REF!,"AAAAACf3dfY=")</f>
        <v>#REF!</v>
      </c>
      <c r="IN45" t="e">
        <f>AND(#REF!,"AAAAACf3dfc=")</f>
        <v>#REF!</v>
      </c>
      <c r="IO45" t="e">
        <f>AND(#REF!,"AAAAACf3dfg=")</f>
        <v>#REF!</v>
      </c>
      <c r="IP45" t="e">
        <f>AND(#REF!,"AAAAACf3dfk=")</f>
        <v>#REF!</v>
      </c>
      <c r="IQ45" t="e">
        <f>AND(#REF!,"AAAAACf3dfo=")</f>
        <v>#REF!</v>
      </c>
      <c r="IR45" t="e">
        <f>AND(#REF!,"AAAAACf3dfs=")</f>
        <v>#REF!</v>
      </c>
      <c r="IS45" t="e">
        <f>AND(#REF!,"AAAAACf3dfw=")</f>
        <v>#REF!</v>
      </c>
      <c r="IT45" t="e">
        <f>AND(#REF!,"AAAAACf3df0=")</f>
        <v>#REF!</v>
      </c>
      <c r="IU45" t="e">
        <f>AND(#REF!,"AAAAACf3df4=")</f>
        <v>#REF!</v>
      </c>
      <c r="IV45" t="e">
        <f>AND(#REF!,"AAAAACf3df8=")</f>
        <v>#REF!</v>
      </c>
    </row>
    <row r="46" spans="1:256" x14ac:dyDescent="0.2">
      <c r="A46" t="e">
        <f>AND(#REF!,"AAAAADvf/AA=")</f>
        <v>#REF!</v>
      </c>
      <c r="B46" t="e">
        <f>IF(#REF!,"AAAAADvf/AE=",0)</f>
        <v>#REF!</v>
      </c>
      <c r="C46" t="e">
        <f>AND(#REF!,"AAAAADvf/AI=")</f>
        <v>#REF!</v>
      </c>
      <c r="D46" t="e">
        <f>AND(#REF!,"AAAAADvf/AM=")</f>
        <v>#REF!</v>
      </c>
      <c r="E46" t="e">
        <f>AND(#REF!,"AAAAADvf/AQ=")</f>
        <v>#REF!</v>
      </c>
      <c r="F46" t="e">
        <f>AND(#REF!,"AAAAADvf/AU=")</f>
        <v>#REF!</v>
      </c>
      <c r="G46" t="e">
        <f>AND(#REF!,"AAAAADvf/AY=")</f>
        <v>#REF!</v>
      </c>
      <c r="H46" t="e">
        <f>AND(#REF!,"AAAAADvf/Ac=")</f>
        <v>#REF!</v>
      </c>
      <c r="I46" t="e">
        <f>AND(#REF!,"AAAAADvf/Ag=")</f>
        <v>#REF!</v>
      </c>
      <c r="J46" t="e">
        <f>AND(#REF!,"AAAAADvf/Ak=")</f>
        <v>#REF!</v>
      </c>
      <c r="K46" t="e">
        <f>AND(#REF!,"AAAAADvf/Ao=")</f>
        <v>#REF!</v>
      </c>
      <c r="L46" t="e">
        <f>AND(#REF!,"AAAAADvf/As=")</f>
        <v>#REF!</v>
      </c>
      <c r="M46" t="e">
        <f>AND(#REF!,"AAAAADvf/Aw=")</f>
        <v>#REF!</v>
      </c>
      <c r="N46" t="e">
        <f>AND(#REF!,"AAAAADvf/A0=")</f>
        <v>#REF!</v>
      </c>
      <c r="O46" t="e">
        <f>AND(#REF!,"AAAAADvf/A4=")</f>
        <v>#REF!</v>
      </c>
      <c r="P46" t="e">
        <f>AND(#REF!,"AAAAADvf/A8=")</f>
        <v>#REF!</v>
      </c>
      <c r="Q46" t="e">
        <f>AND(#REF!,"AAAAADvf/BA=")</f>
        <v>#REF!</v>
      </c>
      <c r="R46" t="e">
        <f>AND(#REF!,"AAAAADvf/BE=")</f>
        <v>#REF!</v>
      </c>
      <c r="S46" t="e">
        <f>AND(#REF!,"AAAAADvf/BI=")</f>
        <v>#REF!</v>
      </c>
      <c r="T46" t="e">
        <f>AND(#REF!,"AAAAADvf/BM=")</f>
        <v>#REF!</v>
      </c>
      <c r="U46" t="e">
        <f>AND(#REF!,"AAAAADvf/BQ=")</f>
        <v>#REF!</v>
      </c>
      <c r="V46" t="e">
        <f>AND(#REF!,"AAAAADvf/BU=")</f>
        <v>#REF!</v>
      </c>
      <c r="W46" t="e">
        <f>AND(#REF!,"AAAAADvf/BY=")</f>
        <v>#REF!</v>
      </c>
      <c r="X46" t="e">
        <f>AND(#REF!,"AAAAADvf/Bc=")</f>
        <v>#REF!</v>
      </c>
      <c r="Y46" t="e">
        <f>AND(#REF!,"AAAAADvf/Bg=")</f>
        <v>#REF!</v>
      </c>
      <c r="Z46" t="e">
        <f>AND(#REF!,"AAAAADvf/Bk=")</f>
        <v>#REF!</v>
      </c>
      <c r="AA46" t="e">
        <f>AND(#REF!,"AAAAADvf/Bo=")</f>
        <v>#REF!</v>
      </c>
      <c r="AB46" t="e">
        <f>AND(#REF!,"AAAAADvf/Bs=")</f>
        <v>#REF!</v>
      </c>
      <c r="AC46" t="e">
        <f>IF(#REF!,"AAAAADvf/Bw=",0)</f>
        <v>#REF!</v>
      </c>
      <c r="AD46" t="e">
        <f>AND(#REF!,"AAAAADvf/B0=")</f>
        <v>#REF!</v>
      </c>
      <c r="AE46" t="e">
        <f>AND(#REF!,"AAAAADvf/B4=")</f>
        <v>#REF!</v>
      </c>
      <c r="AF46" t="e">
        <f>AND(#REF!,"AAAAADvf/B8=")</f>
        <v>#REF!</v>
      </c>
      <c r="AG46" t="e">
        <f>AND(#REF!,"AAAAADvf/CA=")</f>
        <v>#REF!</v>
      </c>
      <c r="AH46" t="e">
        <f>AND(#REF!,"AAAAADvf/CE=")</f>
        <v>#REF!</v>
      </c>
      <c r="AI46" t="e">
        <f>AND(#REF!,"AAAAADvf/CI=")</f>
        <v>#REF!</v>
      </c>
      <c r="AJ46" t="e">
        <f>AND(#REF!,"AAAAADvf/CM=")</f>
        <v>#REF!</v>
      </c>
      <c r="AK46" t="e">
        <f>AND(#REF!,"AAAAADvf/CQ=")</f>
        <v>#REF!</v>
      </c>
      <c r="AL46" t="e">
        <f>AND(#REF!,"AAAAADvf/CU=")</f>
        <v>#REF!</v>
      </c>
      <c r="AM46" t="e">
        <f>AND(#REF!,"AAAAADvf/CY=")</f>
        <v>#REF!</v>
      </c>
      <c r="AN46" t="e">
        <f>AND(#REF!,"AAAAADvf/Cc=")</f>
        <v>#REF!</v>
      </c>
      <c r="AO46" t="e">
        <f>AND(#REF!,"AAAAADvf/Cg=")</f>
        <v>#REF!</v>
      </c>
      <c r="AP46" t="e">
        <f>AND(#REF!,"AAAAADvf/Ck=")</f>
        <v>#REF!</v>
      </c>
      <c r="AQ46" t="e">
        <f>AND(#REF!,"AAAAADvf/Co=")</f>
        <v>#REF!</v>
      </c>
      <c r="AR46" t="e">
        <f>AND(#REF!,"AAAAADvf/Cs=")</f>
        <v>#REF!</v>
      </c>
      <c r="AS46" t="e">
        <f>AND(#REF!,"AAAAADvf/Cw=")</f>
        <v>#REF!</v>
      </c>
      <c r="AT46" t="e">
        <f>AND(#REF!,"AAAAADvf/C0=")</f>
        <v>#REF!</v>
      </c>
      <c r="AU46" t="e">
        <f>AND(#REF!,"AAAAADvf/C4=")</f>
        <v>#REF!</v>
      </c>
      <c r="AV46" t="e">
        <f>AND(#REF!,"AAAAADvf/C8=")</f>
        <v>#REF!</v>
      </c>
      <c r="AW46" t="e">
        <f>AND(#REF!,"AAAAADvf/DA=")</f>
        <v>#REF!</v>
      </c>
      <c r="AX46" t="e">
        <f>AND(#REF!,"AAAAADvf/DE=")</f>
        <v>#REF!</v>
      </c>
      <c r="AY46" t="e">
        <f>AND(#REF!,"AAAAADvf/DI=")</f>
        <v>#REF!</v>
      </c>
      <c r="AZ46" t="e">
        <f>AND(#REF!,"AAAAADvf/DM=")</f>
        <v>#REF!</v>
      </c>
      <c r="BA46" t="e">
        <f>AND(#REF!,"AAAAADvf/DQ=")</f>
        <v>#REF!</v>
      </c>
      <c r="BB46" t="e">
        <f>AND(#REF!,"AAAAADvf/DU=")</f>
        <v>#REF!</v>
      </c>
      <c r="BC46" t="e">
        <f>AND(#REF!,"AAAAADvf/DY=")</f>
        <v>#REF!</v>
      </c>
      <c r="BD46" t="e">
        <f>IF(#REF!,"AAAAADvf/Dc=",0)</f>
        <v>#REF!</v>
      </c>
      <c r="BE46" t="e">
        <f>AND(#REF!,"AAAAADvf/Dg=")</f>
        <v>#REF!</v>
      </c>
      <c r="BF46" t="e">
        <f>AND(#REF!,"AAAAADvf/Dk=")</f>
        <v>#REF!</v>
      </c>
      <c r="BG46" t="e">
        <f>AND(#REF!,"AAAAADvf/Do=")</f>
        <v>#REF!</v>
      </c>
      <c r="BH46" t="e">
        <f>AND(#REF!,"AAAAADvf/Ds=")</f>
        <v>#REF!</v>
      </c>
      <c r="BI46" t="e">
        <f>AND(#REF!,"AAAAADvf/Dw=")</f>
        <v>#REF!</v>
      </c>
      <c r="BJ46" t="e">
        <f>AND(#REF!,"AAAAADvf/D0=")</f>
        <v>#REF!</v>
      </c>
      <c r="BK46" t="e">
        <f>AND(#REF!,"AAAAADvf/D4=")</f>
        <v>#REF!</v>
      </c>
      <c r="BL46" t="e">
        <f>AND(#REF!,"AAAAADvf/D8=")</f>
        <v>#REF!</v>
      </c>
      <c r="BM46" t="e">
        <f>AND(#REF!,"AAAAADvf/EA=")</f>
        <v>#REF!</v>
      </c>
      <c r="BN46" t="e">
        <f>AND(#REF!,"AAAAADvf/EE=")</f>
        <v>#REF!</v>
      </c>
      <c r="BO46" t="e">
        <f>AND(#REF!,"AAAAADvf/EI=")</f>
        <v>#REF!</v>
      </c>
      <c r="BP46" t="e">
        <f>AND(#REF!,"AAAAADvf/EM=")</f>
        <v>#REF!</v>
      </c>
      <c r="BQ46" t="e">
        <f>AND(#REF!,"AAAAADvf/EQ=")</f>
        <v>#REF!</v>
      </c>
      <c r="BR46" t="e">
        <f>AND(#REF!,"AAAAADvf/EU=")</f>
        <v>#REF!</v>
      </c>
      <c r="BS46" t="e">
        <f>AND(#REF!,"AAAAADvf/EY=")</f>
        <v>#REF!</v>
      </c>
      <c r="BT46" t="e">
        <f>AND(#REF!,"AAAAADvf/Ec=")</f>
        <v>#REF!</v>
      </c>
      <c r="BU46" t="e">
        <f>AND(#REF!,"AAAAADvf/Eg=")</f>
        <v>#REF!</v>
      </c>
      <c r="BV46" t="e">
        <f>AND(#REF!,"AAAAADvf/Ek=")</f>
        <v>#REF!</v>
      </c>
      <c r="BW46" t="e">
        <f>AND(#REF!,"AAAAADvf/Eo=")</f>
        <v>#REF!</v>
      </c>
      <c r="BX46" t="e">
        <f>AND(#REF!,"AAAAADvf/Es=")</f>
        <v>#REF!</v>
      </c>
      <c r="BY46" t="e">
        <f>AND(#REF!,"AAAAADvf/Ew=")</f>
        <v>#REF!</v>
      </c>
      <c r="BZ46" t="e">
        <f>AND(#REF!,"AAAAADvf/E0=")</f>
        <v>#REF!</v>
      </c>
      <c r="CA46" t="e">
        <f>AND(#REF!,"AAAAADvf/E4=")</f>
        <v>#REF!</v>
      </c>
      <c r="CB46" t="e">
        <f>AND(#REF!,"AAAAADvf/E8=")</f>
        <v>#REF!</v>
      </c>
      <c r="CC46" t="e">
        <f>AND(#REF!,"AAAAADvf/FA=")</f>
        <v>#REF!</v>
      </c>
      <c r="CD46" t="e">
        <f>AND(#REF!,"AAAAADvf/FE=")</f>
        <v>#REF!</v>
      </c>
      <c r="CE46" t="e">
        <f>IF(#REF!,"AAAAADvf/FI=",0)</f>
        <v>#REF!</v>
      </c>
      <c r="CF46" t="e">
        <f>AND(#REF!,"AAAAADvf/FM=")</f>
        <v>#REF!</v>
      </c>
      <c r="CG46" t="e">
        <f>AND(#REF!,"AAAAADvf/FQ=")</f>
        <v>#REF!</v>
      </c>
      <c r="CH46" t="e">
        <f>AND(#REF!,"AAAAADvf/FU=")</f>
        <v>#REF!</v>
      </c>
      <c r="CI46" t="e">
        <f>AND(#REF!,"AAAAADvf/FY=")</f>
        <v>#REF!</v>
      </c>
      <c r="CJ46" t="e">
        <f>AND(#REF!,"AAAAADvf/Fc=")</f>
        <v>#REF!</v>
      </c>
      <c r="CK46" t="e">
        <f>AND(#REF!,"AAAAADvf/Fg=")</f>
        <v>#REF!</v>
      </c>
      <c r="CL46" t="e">
        <f>AND(#REF!,"AAAAADvf/Fk=")</f>
        <v>#REF!</v>
      </c>
      <c r="CM46" t="e">
        <f>AND(#REF!,"AAAAADvf/Fo=")</f>
        <v>#REF!</v>
      </c>
      <c r="CN46" t="e">
        <f>AND(#REF!,"AAAAADvf/Fs=")</f>
        <v>#REF!</v>
      </c>
      <c r="CO46" t="e">
        <f>AND(#REF!,"AAAAADvf/Fw=")</f>
        <v>#REF!</v>
      </c>
      <c r="CP46" t="e">
        <f>AND(#REF!,"AAAAADvf/F0=")</f>
        <v>#REF!</v>
      </c>
      <c r="CQ46" t="e">
        <f>AND(#REF!,"AAAAADvf/F4=")</f>
        <v>#REF!</v>
      </c>
      <c r="CR46" t="e">
        <f>AND(#REF!,"AAAAADvf/F8=")</f>
        <v>#REF!</v>
      </c>
      <c r="CS46" t="e">
        <f>AND(#REF!,"AAAAADvf/GA=")</f>
        <v>#REF!</v>
      </c>
      <c r="CT46" t="e">
        <f>AND(#REF!,"AAAAADvf/GE=")</f>
        <v>#REF!</v>
      </c>
      <c r="CU46" t="e">
        <f>AND(#REF!,"AAAAADvf/GI=")</f>
        <v>#REF!</v>
      </c>
      <c r="CV46" t="e">
        <f>AND(#REF!,"AAAAADvf/GM=")</f>
        <v>#REF!</v>
      </c>
      <c r="CW46" t="e">
        <f>AND(#REF!,"AAAAADvf/GQ=")</f>
        <v>#REF!</v>
      </c>
      <c r="CX46" t="e">
        <f>AND(#REF!,"AAAAADvf/GU=")</f>
        <v>#REF!</v>
      </c>
      <c r="CY46" t="e">
        <f>AND(#REF!,"AAAAADvf/GY=")</f>
        <v>#REF!</v>
      </c>
      <c r="CZ46" t="e">
        <f>AND(#REF!,"AAAAADvf/Gc=")</f>
        <v>#REF!</v>
      </c>
      <c r="DA46" t="e">
        <f>AND(#REF!,"AAAAADvf/Gg=")</f>
        <v>#REF!</v>
      </c>
      <c r="DB46" t="e">
        <f>AND(#REF!,"AAAAADvf/Gk=")</f>
        <v>#REF!</v>
      </c>
      <c r="DC46" t="e">
        <f>AND(#REF!,"AAAAADvf/Go=")</f>
        <v>#REF!</v>
      </c>
      <c r="DD46" t="e">
        <f>AND(#REF!,"AAAAADvf/Gs=")</f>
        <v>#REF!</v>
      </c>
      <c r="DE46" t="e">
        <f>AND(#REF!,"AAAAADvf/Gw=")</f>
        <v>#REF!</v>
      </c>
      <c r="DF46" t="e">
        <f>IF(#REF!,"AAAAADvf/G0=",0)</f>
        <v>#REF!</v>
      </c>
      <c r="DG46" t="e">
        <f>AND(#REF!,"AAAAADvf/G4=")</f>
        <v>#REF!</v>
      </c>
      <c r="DH46" t="e">
        <f>AND(#REF!,"AAAAADvf/G8=")</f>
        <v>#REF!</v>
      </c>
      <c r="DI46" t="e">
        <f>AND(#REF!,"AAAAADvf/HA=")</f>
        <v>#REF!</v>
      </c>
      <c r="DJ46" t="e">
        <f>AND(#REF!,"AAAAADvf/HE=")</f>
        <v>#REF!</v>
      </c>
      <c r="DK46" t="e">
        <f>AND(#REF!,"AAAAADvf/HI=")</f>
        <v>#REF!</v>
      </c>
      <c r="DL46" t="e">
        <f>AND(#REF!,"AAAAADvf/HM=")</f>
        <v>#REF!</v>
      </c>
      <c r="DM46" t="e">
        <f>AND(#REF!,"AAAAADvf/HQ=")</f>
        <v>#REF!</v>
      </c>
      <c r="DN46" t="e">
        <f>AND(#REF!,"AAAAADvf/HU=")</f>
        <v>#REF!</v>
      </c>
      <c r="DO46" t="e">
        <f>AND(#REF!,"AAAAADvf/HY=")</f>
        <v>#REF!</v>
      </c>
      <c r="DP46" t="e">
        <f>AND(#REF!,"AAAAADvf/Hc=")</f>
        <v>#REF!</v>
      </c>
      <c r="DQ46" t="e">
        <f>AND(#REF!,"AAAAADvf/Hg=")</f>
        <v>#REF!</v>
      </c>
      <c r="DR46" t="e">
        <f>AND(#REF!,"AAAAADvf/Hk=")</f>
        <v>#REF!</v>
      </c>
      <c r="DS46" t="e">
        <f>AND(#REF!,"AAAAADvf/Ho=")</f>
        <v>#REF!</v>
      </c>
      <c r="DT46" t="e">
        <f>AND(#REF!,"AAAAADvf/Hs=")</f>
        <v>#REF!</v>
      </c>
      <c r="DU46" t="e">
        <f>AND(#REF!,"AAAAADvf/Hw=")</f>
        <v>#REF!</v>
      </c>
      <c r="DV46" t="e">
        <f>AND(#REF!,"AAAAADvf/H0=")</f>
        <v>#REF!</v>
      </c>
      <c r="DW46" t="e">
        <f>AND(#REF!,"AAAAADvf/H4=")</f>
        <v>#REF!</v>
      </c>
      <c r="DX46" t="e">
        <f>AND(#REF!,"AAAAADvf/H8=")</f>
        <v>#REF!</v>
      </c>
      <c r="DY46" t="e">
        <f>AND(#REF!,"AAAAADvf/IA=")</f>
        <v>#REF!</v>
      </c>
      <c r="DZ46" t="e">
        <f>AND(#REF!,"AAAAADvf/IE=")</f>
        <v>#REF!</v>
      </c>
      <c r="EA46" t="e">
        <f>AND(#REF!,"AAAAADvf/II=")</f>
        <v>#REF!</v>
      </c>
      <c r="EB46" t="e">
        <f>AND(#REF!,"AAAAADvf/IM=")</f>
        <v>#REF!</v>
      </c>
      <c r="EC46" t="e">
        <f>AND(#REF!,"AAAAADvf/IQ=")</f>
        <v>#REF!</v>
      </c>
      <c r="ED46" t="e">
        <f>AND(#REF!,"AAAAADvf/IU=")</f>
        <v>#REF!</v>
      </c>
      <c r="EE46" t="e">
        <f>AND(#REF!,"AAAAADvf/IY=")</f>
        <v>#REF!</v>
      </c>
      <c r="EF46" t="e">
        <f>AND(#REF!,"AAAAADvf/Ic=")</f>
        <v>#REF!</v>
      </c>
      <c r="EG46" t="e">
        <f>IF(#REF!,"AAAAADvf/Ig=",0)</f>
        <v>#REF!</v>
      </c>
      <c r="EH46" t="e">
        <f>AND(#REF!,"AAAAADvf/Ik=")</f>
        <v>#REF!</v>
      </c>
      <c r="EI46" t="e">
        <f>AND(#REF!,"AAAAADvf/Io=")</f>
        <v>#REF!</v>
      </c>
      <c r="EJ46" t="e">
        <f>AND(#REF!,"AAAAADvf/Is=")</f>
        <v>#REF!</v>
      </c>
      <c r="EK46" t="e">
        <f>AND(#REF!,"AAAAADvf/Iw=")</f>
        <v>#REF!</v>
      </c>
      <c r="EL46" t="e">
        <f>AND(#REF!,"AAAAADvf/I0=")</f>
        <v>#REF!</v>
      </c>
      <c r="EM46" t="e">
        <f>AND(#REF!,"AAAAADvf/I4=")</f>
        <v>#REF!</v>
      </c>
      <c r="EN46" t="e">
        <f>AND(#REF!,"AAAAADvf/I8=")</f>
        <v>#REF!</v>
      </c>
      <c r="EO46" t="e">
        <f>AND(#REF!,"AAAAADvf/JA=")</f>
        <v>#REF!</v>
      </c>
      <c r="EP46" t="e">
        <f>AND(#REF!,"AAAAADvf/JE=")</f>
        <v>#REF!</v>
      </c>
      <c r="EQ46" t="e">
        <f>AND(#REF!,"AAAAADvf/JI=")</f>
        <v>#REF!</v>
      </c>
      <c r="ER46" t="e">
        <f>AND(#REF!,"AAAAADvf/JM=")</f>
        <v>#REF!</v>
      </c>
      <c r="ES46" t="e">
        <f>AND(#REF!,"AAAAADvf/JQ=")</f>
        <v>#REF!</v>
      </c>
      <c r="ET46" t="e">
        <f>AND(#REF!,"AAAAADvf/JU=")</f>
        <v>#REF!</v>
      </c>
      <c r="EU46" t="e">
        <f>AND(#REF!,"AAAAADvf/JY=")</f>
        <v>#REF!</v>
      </c>
      <c r="EV46" t="e">
        <f>AND(#REF!,"AAAAADvf/Jc=")</f>
        <v>#REF!</v>
      </c>
      <c r="EW46" t="e">
        <f>AND(#REF!,"AAAAADvf/Jg=")</f>
        <v>#REF!</v>
      </c>
      <c r="EX46" t="e">
        <f>AND(#REF!,"AAAAADvf/Jk=")</f>
        <v>#REF!</v>
      </c>
      <c r="EY46" t="e">
        <f>AND(#REF!,"AAAAADvf/Jo=")</f>
        <v>#REF!</v>
      </c>
      <c r="EZ46" t="e">
        <f>AND(#REF!,"AAAAADvf/Js=")</f>
        <v>#REF!</v>
      </c>
      <c r="FA46" t="e">
        <f>AND(#REF!,"AAAAADvf/Jw=")</f>
        <v>#REF!</v>
      </c>
      <c r="FB46" t="e">
        <f>AND(#REF!,"AAAAADvf/J0=")</f>
        <v>#REF!</v>
      </c>
      <c r="FC46" t="e">
        <f>AND(#REF!,"AAAAADvf/J4=")</f>
        <v>#REF!</v>
      </c>
      <c r="FD46" t="e">
        <f>AND(#REF!,"AAAAADvf/J8=")</f>
        <v>#REF!</v>
      </c>
      <c r="FE46" t="e">
        <f>AND(#REF!,"AAAAADvf/KA=")</f>
        <v>#REF!</v>
      </c>
      <c r="FF46" t="e">
        <f>AND(#REF!,"AAAAADvf/KE=")</f>
        <v>#REF!</v>
      </c>
      <c r="FG46" t="e">
        <f>AND(#REF!,"AAAAADvf/KI=")</f>
        <v>#REF!</v>
      </c>
      <c r="FH46" t="e">
        <f>IF(#REF!,"AAAAADvf/KM=",0)</f>
        <v>#REF!</v>
      </c>
      <c r="FI46" t="e">
        <f>AND(#REF!,"AAAAADvf/KQ=")</f>
        <v>#REF!</v>
      </c>
      <c r="FJ46" t="e">
        <f>AND(#REF!,"AAAAADvf/KU=")</f>
        <v>#REF!</v>
      </c>
      <c r="FK46" t="e">
        <f>AND(#REF!,"AAAAADvf/KY=")</f>
        <v>#REF!</v>
      </c>
      <c r="FL46" t="e">
        <f>AND(#REF!,"AAAAADvf/Kc=")</f>
        <v>#REF!</v>
      </c>
      <c r="FM46" t="e">
        <f>AND(#REF!,"AAAAADvf/Kg=")</f>
        <v>#REF!</v>
      </c>
      <c r="FN46" t="e">
        <f>AND(#REF!,"AAAAADvf/Kk=")</f>
        <v>#REF!</v>
      </c>
      <c r="FO46" t="e">
        <f>AND(#REF!,"AAAAADvf/Ko=")</f>
        <v>#REF!</v>
      </c>
      <c r="FP46" t="e">
        <f>AND(#REF!,"AAAAADvf/Ks=")</f>
        <v>#REF!</v>
      </c>
      <c r="FQ46" t="e">
        <f>AND(#REF!,"AAAAADvf/Kw=")</f>
        <v>#REF!</v>
      </c>
      <c r="FR46" t="e">
        <f>AND(#REF!,"AAAAADvf/K0=")</f>
        <v>#REF!</v>
      </c>
      <c r="FS46" t="e">
        <f>AND(#REF!,"AAAAADvf/K4=")</f>
        <v>#REF!</v>
      </c>
      <c r="FT46" t="e">
        <f>AND(#REF!,"AAAAADvf/K8=")</f>
        <v>#REF!</v>
      </c>
      <c r="FU46" t="e">
        <f>AND(#REF!,"AAAAADvf/LA=")</f>
        <v>#REF!</v>
      </c>
      <c r="FV46" t="e">
        <f>AND(#REF!,"AAAAADvf/LE=")</f>
        <v>#REF!</v>
      </c>
      <c r="FW46" t="e">
        <f>AND(#REF!,"AAAAADvf/LI=")</f>
        <v>#REF!</v>
      </c>
      <c r="FX46" t="e">
        <f>AND(#REF!,"AAAAADvf/LM=")</f>
        <v>#REF!</v>
      </c>
      <c r="FY46" t="e">
        <f>AND(#REF!,"AAAAADvf/LQ=")</f>
        <v>#REF!</v>
      </c>
      <c r="FZ46" t="e">
        <f>AND(#REF!,"AAAAADvf/LU=")</f>
        <v>#REF!</v>
      </c>
      <c r="GA46" t="e">
        <f>AND(#REF!,"AAAAADvf/LY=")</f>
        <v>#REF!</v>
      </c>
      <c r="GB46" t="e">
        <f>AND(#REF!,"AAAAADvf/Lc=")</f>
        <v>#REF!</v>
      </c>
      <c r="GC46" t="e">
        <f>AND(#REF!,"AAAAADvf/Lg=")</f>
        <v>#REF!</v>
      </c>
      <c r="GD46" t="e">
        <f>AND(#REF!,"AAAAADvf/Lk=")</f>
        <v>#REF!</v>
      </c>
      <c r="GE46" t="e">
        <f>AND(#REF!,"AAAAADvf/Lo=")</f>
        <v>#REF!</v>
      </c>
      <c r="GF46" t="e">
        <f>AND(#REF!,"AAAAADvf/Ls=")</f>
        <v>#REF!</v>
      </c>
      <c r="GG46" t="e">
        <f>AND(#REF!,"AAAAADvf/Lw=")</f>
        <v>#REF!</v>
      </c>
      <c r="GH46" t="e">
        <f>AND(#REF!,"AAAAADvf/L0=")</f>
        <v>#REF!</v>
      </c>
      <c r="GI46" t="e">
        <f>IF(#REF!,"AAAAADvf/L4=",0)</f>
        <v>#REF!</v>
      </c>
      <c r="GJ46" t="e">
        <f>AND(#REF!,"AAAAADvf/L8=")</f>
        <v>#REF!</v>
      </c>
      <c r="GK46" t="e">
        <f>AND(#REF!,"AAAAADvf/MA=")</f>
        <v>#REF!</v>
      </c>
      <c r="GL46" t="e">
        <f>AND(#REF!,"AAAAADvf/ME=")</f>
        <v>#REF!</v>
      </c>
      <c r="GM46" t="e">
        <f>AND(#REF!,"AAAAADvf/MI=")</f>
        <v>#REF!</v>
      </c>
      <c r="GN46" t="e">
        <f>AND(#REF!,"AAAAADvf/MM=")</f>
        <v>#REF!</v>
      </c>
      <c r="GO46" t="e">
        <f>AND(#REF!,"AAAAADvf/MQ=")</f>
        <v>#REF!</v>
      </c>
      <c r="GP46" t="e">
        <f>AND(#REF!,"AAAAADvf/MU=")</f>
        <v>#REF!</v>
      </c>
      <c r="GQ46" t="e">
        <f>AND(#REF!,"AAAAADvf/MY=")</f>
        <v>#REF!</v>
      </c>
      <c r="GR46" t="e">
        <f>AND(#REF!,"AAAAADvf/Mc=")</f>
        <v>#REF!</v>
      </c>
      <c r="GS46" t="e">
        <f>AND(#REF!,"AAAAADvf/Mg=")</f>
        <v>#REF!</v>
      </c>
      <c r="GT46" t="e">
        <f>AND(#REF!,"AAAAADvf/Mk=")</f>
        <v>#REF!</v>
      </c>
      <c r="GU46" t="e">
        <f>AND(#REF!,"AAAAADvf/Mo=")</f>
        <v>#REF!</v>
      </c>
      <c r="GV46" t="e">
        <f>AND(#REF!,"AAAAADvf/Ms=")</f>
        <v>#REF!</v>
      </c>
      <c r="GW46" t="e">
        <f>AND(#REF!,"AAAAADvf/Mw=")</f>
        <v>#REF!</v>
      </c>
      <c r="GX46" t="e">
        <f>AND(#REF!,"AAAAADvf/M0=")</f>
        <v>#REF!</v>
      </c>
      <c r="GY46" t="e">
        <f>AND(#REF!,"AAAAADvf/M4=")</f>
        <v>#REF!</v>
      </c>
      <c r="GZ46" t="e">
        <f>AND(#REF!,"AAAAADvf/M8=")</f>
        <v>#REF!</v>
      </c>
      <c r="HA46" t="e">
        <f>AND(#REF!,"AAAAADvf/NA=")</f>
        <v>#REF!</v>
      </c>
      <c r="HB46" t="e">
        <f>AND(#REF!,"AAAAADvf/NE=")</f>
        <v>#REF!</v>
      </c>
      <c r="HC46" t="e">
        <f>AND(#REF!,"AAAAADvf/NI=")</f>
        <v>#REF!</v>
      </c>
      <c r="HD46" t="e">
        <f>AND(#REF!,"AAAAADvf/NM=")</f>
        <v>#REF!</v>
      </c>
      <c r="HE46" t="e">
        <f>AND(#REF!,"AAAAADvf/NQ=")</f>
        <v>#REF!</v>
      </c>
      <c r="HF46" t="e">
        <f>AND(#REF!,"AAAAADvf/NU=")</f>
        <v>#REF!</v>
      </c>
      <c r="HG46" t="e">
        <f>AND(#REF!,"AAAAADvf/NY=")</f>
        <v>#REF!</v>
      </c>
      <c r="HH46" t="e">
        <f>AND(#REF!,"AAAAADvf/Nc=")</f>
        <v>#REF!</v>
      </c>
      <c r="HI46" t="e">
        <f>AND(#REF!,"AAAAADvf/Ng=")</f>
        <v>#REF!</v>
      </c>
      <c r="HJ46" t="e">
        <f>IF(#REF!,"AAAAADvf/Nk=",0)</f>
        <v>#REF!</v>
      </c>
      <c r="HK46" t="e">
        <f>AND(#REF!,"AAAAADvf/No=")</f>
        <v>#REF!</v>
      </c>
      <c r="HL46" t="e">
        <f>AND(#REF!,"AAAAADvf/Ns=")</f>
        <v>#REF!</v>
      </c>
      <c r="HM46" t="e">
        <f>AND(#REF!,"AAAAADvf/Nw=")</f>
        <v>#REF!</v>
      </c>
      <c r="HN46" t="e">
        <f>AND(#REF!,"AAAAADvf/N0=")</f>
        <v>#REF!</v>
      </c>
      <c r="HO46" t="e">
        <f>AND(#REF!,"AAAAADvf/N4=")</f>
        <v>#REF!</v>
      </c>
      <c r="HP46" t="e">
        <f>AND(#REF!,"AAAAADvf/N8=")</f>
        <v>#REF!</v>
      </c>
      <c r="HQ46" t="e">
        <f>AND(#REF!,"AAAAADvf/OA=")</f>
        <v>#REF!</v>
      </c>
      <c r="HR46" t="e">
        <f>AND(#REF!,"AAAAADvf/OE=")</f>
        <v>#REF!</v>
      </c>
      <c r="HS46" t="e">
        <f>AND(#REF!,"AAAAADvf/OI=")</f>
        <v>#REF!</v>
      </c>
      <c r="HT46" t="e">
        <f>AND(#REF!,"AAAAADvf/OM=")</f>
        <v>#REF!</v>
      </c>
      <c r="HU46" t="e">
        <f>AND(#REF!,"AAAAADvf/OQ=")</f>
        <v>#REF!</v>
      </c>
      <c r="HV46" t="e">
        <f>AND(#REF!,"AAAAADvf/OU=")</f>
        <v>#REF!</v>
      </c>
      <c r="HW46" t="e">
        <f>AND(#REF!,"AAAAADvf/OY=")</f>
        <v>#REF!</v>
      </c>
      <c r="HX46" t="e">
        <f>AND(#REF!,"AAAAADvf/Oc=")</f>
        <v>#REF!</v>
      </c>
      <c r="HY46" t="e">
        <f>AND(#REF!,"AAAAADvf/Og=")</f>
        <v>#REF!</v>
      </c>
      <c r="HZ46" t="e">
        <f>AND(#REF!,"AAAAADvf/Ok=")</f>
        <v>#REF!</v>
      </c>
      <c r="IA46" t="e">
        <f>AND(#REF!,"AAAAADvf/Oo=")</f>
        <v>#REF!</v>
      </c>
      <c r="IB46" t="e">
        <f>AND(#REF!,"AAAAADvf/Os=")</f>
        <v>#REF!</v>
      </c>
      <c r="IC46" t="e">
        <f>AND(#REF!,"AAAAADvf/Ow=")</f>
        <v>#REF!</v>
      </c>
      <c r="ID46" t="e">
        <f>AND(#REF!,"AAAAADvf/O0=")</f>
        <v>#REF!</v>
      </c>
      <c r="IE46" t="e">
        <f>AND(#REF!,"AAAAADvf/O4=")</f>
        <v>#REF!</v>
      </c>
      <c r="IF46" t="e">
        <f>AND(#REF!,"AAAAADvf/O8=")</f>
        <v>#REF!</v>
      </c>
      <c r="IG46" t="e">
        <f>AND(#REF!,"AAAAADvf/PA=")</f>
        <v>#REF!</v>
      </c>
      <c r="IH46" t="e">
        <f>AND(#REF!,"AAAAADvf/PE=")</f>
        <v>#REF!</v>
      </c>
      <c r="II46" t="e">
        <f>AND(#REF!,"AAAAADvf/PI=")</f>
        <v>#REF!</v>
      </c>
      <c r="IJ46" t="e">
        <f>AND(#REF!,"AAAAADvf/PM=")</f>
        <v>#REF!</v>
      </c>
      <c r="IK46" t="e">
        <f>IF(#REF!,"AAAAADvf/PQ=",0)</f>
        <v>#REF!</v>
      </c>
      <c r="IL46" t="e">
        <f>AND(#REF!,"AAAAADvf/PU=")</f>
        <v>#REF!</v>
      </c>
      <c r="IM46" t="e">
        <f>AND(#REF!,"AAAAADvf/PY=")</f>
        <v>#REF!</v>
      </c>
      <c r="IN46" t="e">
        <f>AND(#REF!,"AAAAADvf/Pc=")</f>
        <v>#REF!</v>
      </c>
      <c r="IO46" t="e">
        <f>AND(#REF!,"AAAAADvf/Pg=")</f>
        <v>#REF!</v>
      </c>
      <c r="IP46" t="e">
        <f>AND(#REF!,"AAAAADvf/Pk=")</f>
        <v>#REF!</v>
      </c>
      <c r="IQ46" t="e">
        <f>AND(#REF!,"AAAAADvf/Po=")</f>
        <v>#REF!</v>
      </c>
      <c r="IR46" t="e">
        <f>AND(#REF!,"AAAAADvf/Ps=")</f>
        <v>#REF!</v>
      </c>
      <c r="IS46" t="e">
        <f>AND(#REF!,"AAAAADvf/Pw=")</f>
        <v>#REF!</v>
      </c>
      <c r="IT46" t="e">
        <f>AND(#REF!,"AAAAADvf/P0=")</f>
        <v>#REF!</v>
      </c>
      <c r="IU46" t="e">
        <f>AND(#REF!,"AAAAADvf/P4=")</f>
        <v>#REF!</v>
      </c>
      <c r="IV46" t="e">
        <f>AND(#REF!,"AAAAADvf/P8=")</f>
        <v>#REF!</v>
      </c>
    </row>
    <row r="47" spans="1:256" x14ac:dyDescent="0.2">
      <c r="A47" t="e">
        <f>AND(#REF!,"AAAAAH/02wA=")</f>
        <v>#REF!</v>
      </c>
      <c r="B47" t="e">
        <f>AND(#REF!,"AAAAAH/02wE=")</f>
        <v>#REF!</v>
      </c>
      <c r="C47" t="e">
        <f>AND(#REF!,"AAAAAH/02wI=")</f>
        <v>#REF!</v>
      </c>
      <c r="D47" t="e">
        <f>AND(#REF!,"AAAAAH/02wM=")</f>
        <v>#REF!</v>
      </c>
      <c r="E47" t="e">
        <f>AND(#REF!,"AAAAAH/02wQ=")</f>
        <v>#REF!</v>
      </c>
      <c r="F47" t="e">
        <f>AND(#REF!,"AAAAAH/02wU=")</f>
        <v>#REF!</v>
      </c>
      <c r="G47" t="e">
        <f>AND(#REF!,"AAAAAH/02wY=")</f>
        <v>#REF!</v>
      </c>
      <c r="H47" t="e">
        <f>AND(#REF!,"AAAAAH/02wc=")</f>
        <v>#REF!</v>
      </c>
      <c r="I47" t="e">
        <f>AND(#REF!,"AAAAAH/02wg=")</f>
        <v>#REF!</v>
      </c>
      <c r="J47" t="e">
        <f>AND(#REF!,"AAAAAH/02wk=")</f>
        <v>#REF!</v>
      </c>
      <c r="K47" t="e">
        <f>AND(#REF!,"AAAAAH/02wo=")</f>
        <v>#REF!</v>
      </c>
      <c r="L47" t="e">
        <f>AND(#REF!,"AAAAAH/02ws=")</f>
        <v>#REF!</v>
      </c>
      <c r="M47" t="e">
        <f>AND(#REF!,"AAAAAH/02ww=")</f>
        <v>#REF!</v>
      </c>
      <c r="N47" t="e">
        <f>AND(#REF!,"AAAAAH/02w0=")</f>
        <v>#REF!</v>
      </c>
      <c r="O47" t="e">
        <f>AND(#REF!,"AAAAAH/02w4=")</f>
        <v>#REF!</v>
      </c>
      <c r="P47" t="e">
        <f>IF(#REF!,"AAAAAH/02w8=",0)</f>
        <v>#REF!</v>
      </c>
      <c r="Q47" t="e">
        <f>AND(#REF!,"AAAAAH/02xA=")</f>
        <v>#REF!</v>
      </c>
      <c r="R47" t="e">
        <f>AND(#REF!,"AAAAAH/02xE=")</f>
        <v>#REF!</v>
      </c>
      <c r="S47" t="e">
        <f>AND(#REF!,"AAAAAH/02xI=")</f>
        <v>#REF!</v>
      </c>
      <c r="T47" t="e">
        <f>AND(#REF!,"AAAAAH/02xM=")</f>
        <v>#REF!</v>
      </c>
      <c r="U47" t="e">
        <f>AND(#REF!,"AAAAAH/02xQ=")</f>
        <v>#REF!</v>
      </c>
      <c r="V47" t="e">
        <f>AND(#REF!,"AAAAAH/02xU=")</f>
        <v>#REF!</v>
      </c>
      <c r="W47" t="e">
        <f>AND(#REF!,"AAAAAH/02xY=")</f>
        <v>#REF!</v>
      </c>
      <c r="X47" t="e">
        <f>AND(#REF!,"AAAAAH/02xc=")</f>
        <v>#REF!</v>
      </c>
      <c r="Y47" t="e">
        <f>AND(#REF!,"AAAAAH/02xg=")</f>
        <v>#REF!</v>
      </c>
      <c r="Z47" t="e">
        <f>AND(#REF!,"AAAAAH/02xk=")</f>
        <v>#REF!</v>
      </c>
      <c r="AA47" t="e">
        <f>AND(#REF!,"AAAAAH/02xo=")</f>
        <v>#REF!</v>
      </c>
      <c r="AB47" t="e">
        <f>AND(#REF!,"AAAAAH/02xs=")</f>
        <v>#REF!</v>
      </c>
      <c r="AC47" t="e">
        <f>AND(#REF!,"AAAAAH/02xw=")</f>
        <v>#REF!</v>
      </c>
      <c r="AD47" t="e">
        <f>AND(#REF!,"AAAAAH/02x0=")</f>
        <v>#REF!</v>
      </c>
      <c r="AE47" t="e">
        <f>AND(#REF!,"AAAAAH/02x4=")</f>
        <v>#REF!</v>
      </c>
      <c r="AF47" t="e">
        <f>AND(#REF!,"AAAAAH/02x8=")</f>
        <v>#REF!</v>
      </c>
      <c r="AG47" t="e">
        <f>AND(#REF!,"AAAAAH/02yA=")</f>
        <v>#REF!</v>
      </c>
      <c r="AH47" t="e">
        <f>AND(#REF!,"AAAAAH/02yE=")</f>
        <v>#REF!</v>
      </c>
      <c r="AI47" t="e">
        <f>AND(#REF!,"AAAAAH/02yI=")</f>
        <v>#REF!</v>
      </c>
      <c r="AJ47" t="e">
        <f>AND(#REF!,"AAAAAH/02yM=")</f>
        <v>#REF!</v>
      </c>
      <c r="AK47" t="e">
        <f>AND(#REF!,"AAAAAH/02yQ=")</f>
        <v>#REF!</v>
      </c>
      <c r="AL47" t="e">
        <f>AND(#REF!,"AAAAAH/02yU=")</f>
        <v>#REF!</v>
      </c>
      <c r="AM47" t="e">
        <f>AND(#REF!,"AAAAAH/02yY=")</f>
        <v>#REF!</v>
      </c>
      <c r="AN47" t="e">
        <f>AND(#REF!,"AAAAAH/02yc=")</f>
        <v>#REF!</v>
      </c>
      <c r="AO47" t="e">
        <f>AND(#REF!,"AAAAAH/02yg=")</f>
        <v>#REF!</v>
      </c>
      <c r="AP47" t="e">
        <f>AND(#REF!,"AAAAAH/02yk=")</f>
        <v>#REF!</v>
      </c>
      <c r="AQ47" t="e">
        <f>IF(#REF!,"AAAAAH/02yo=",0)</f>
        <v>#REF!</v>
      </c>
      <c r="AR47" t="e">
        <f>AND(#REF!,"AAAAAH/02ys=")</f>
        <v>#REF!</v>
      </c>
      <c r="AS47" t="e">
        <f>AND(#REF!,"AAAAAH/02yw=")</f>
        <v>#REF!</v>
      </c>
      <c r="AT47" t="e">
        <f>AND(#REF!,"AAAAAH/02y0=")</f>
        <v>#REF!</v>
      </c>
      <c r="AU47" t="e">
        <f>AND(#REF!,"AAAAAH/02y4=")</f>
        <v>#REF!</v>
      </c>
      <c r="AV47" t="e">
        <f>AND(#REF!,"AAAAAH/02y8=")</f>
        <v>#REF!</v>
      </c>
      <c r="AW47" t="e">
        <f>AND(#REF!,"AAAAAH/02zA=")</f>
        <v>#REF!</v>
      </c>
      <c r="AX47" t="e">
        <f>AND(#REF!,"AAAAAH/02zE=")</f>
        <v>#REF!</v>
      </c>
      <c r="AY47" t="e">
        <f>AND(#REF!,"AAAAAH/02zI=")</f>
        <v>#REF!</v>
      </c>
      <c r="AZ47" t="e">
        <f>AND(#REF!,"AAAAAH/02zM=")</f>
        <v>#REF!</v>
      </c>
      <c r="BA47" t="e">
        <f>AND(#REF!,"AAAAAH/02zQ=")</f>
        <v>#REF!</v>
      </c>
      <c r="BB47" t="e">
        <f>AND(#REF!,"AAAAAH/02zU=")</f>
        <v>#REF!</v>
      </c>
      <c r="BC47" t="e">
        <f>AND(#REF!,"AAAAAH/02zY=")</f>
        <v>#REF!</v>
      </c>
      <c r="BD47" t="e">
        <f>AND(#REF!,"AAAAAH/02zc=")</f>
        <v>#REF!</v>
      </c>
      <c r="BE47" t="e">
        <f>AND(#REF!,"AAAAAH/02zg=")</f>
        <v>#REF!</v>
      </c>
      <c r="BF47" t="e">
        <f>AND(#REF!,"AAAAAH/02zk=")</f>
        <v>#REF!</v>
      </c>
      <c r="BG47" t="e">
        <f>AND(#REF!,"AAAAAH/02zo=")</f>
        <v>#REF!</v>
      </c>
      <c r="BH47" t="e">
        <f>AND(#REF!,"AAAAAH/02zs=")</f>
        <v>#REF!</v>
      </c>
      <c r="BI47" t="e">
        <f>AND(#REF!,"AAAAAH/02zw=")</f>
        <v>#REF!</v>
      </c>
      <c r="BJ47" t="e">
        <f>AND(#REF!,"AAAAAH/02z0=")</f>
        <v>#REF!</v>
      </c>
      <c r="BK47" t="e">
        <f>AND(#REF!,"AAAAAH/02z4=")</f>
        <v>#REF!</v>
      </c>
      <c r="BL47" t="e">
        <f>AND(#REF!,"AAAAAH/02z8=")</f>
        <v>#REF!</v>
      </c>
      <c r="BM47" t="e">
        <f>AND(#REF!,"AAAAAH/020A=")</f>
        <v>#REF!</v>
      </c>
      <c r="BN47" t="e">
        <f>AND(#REF!,"AAAAAH/020E=")</f>
        <v>#REF!</v>
      </c>
      <c r="BO47" t="e">
        <f>AND(#REF!,"AAAAAH/020I=")</f>
        <v>#REF!</v>
      </c>
      <c r="BP47" t="e">
        <f>AND(#REF!,"AAAAAH/020M=")</f>
        <v>#REF!</v>
      </c>
      <c r="BQ47" t="e">
        <f>AND(#REF!,"AAAAAH/020Q=")</f>
        <v>#REF!</v>
      </c>
      <c r="BR47" t="e">
        <f>IF(#REF!,"AAAAAH/020U=",0)</f>
        <v>#REF!</v>
      </c>
      <c r="BS47" t="e">
        <f>AND(#REF!,"AAAAAH/020Y=")</f>
        <v>#REF!</v>
      </c>
      <c r="BT47" t="e">
        <f>AND(#REF!,"AAAAAH/020c=")</f>
        <v>#REF!</v>
      </c>
      <c r="BU47" t="e">
        <f>AND(#REF!,"AAAAAH/020g=")</f>
        <v>#REF!</v>
      </c>
      <c r="BV47" t="e">
        <f>AND(#REF!,"AAAAAH/020k=")</f>
        <v>#REF!</v>
      </c>
      <c r="BW47" t="e">
        <f>AND(#REF!,"AAAAAH/020o=")</f>
        <v>#REF!</v>
      </c>
      <c r="BX47" t="e">
        <f>AND(#REF!,"AAAAAH/020s=")</f>
        <v>#REF!</v>
      </c>
      <c r="BY47" t="e">
        <f>AND(#REF!,"AAAAAH/020w=")</f>
        <v>#REF!</v>
      </c>
      <c r="BZ47" t="e">
        <f>AND(#REF!,"AAAAAH/0200=")</f>
        <v>#REF!</v>
      </c>
      <c r="CA47" t="e">
        <f>AND(#REF!,"AAAAAH/0204=")</f>
        <v>#REF!</v>
      </c>
      <c r="CB47" t="e">
        <f>AND(#REF!,"AAAAAH/0208=")</f>
        <v>#REF!</v>
      </c>
      <c r="CC47" t="e">
        <f>AND(#REF!,"AAAAAH/021A=")</f>
        <v>#REF!</v>
      </c>
      <c r="CD47" t="e">
        <f>AND(#REF!,"AAAAAH/021E=")</f>
        <v>#REF!</v>
      </c>
      <c r="CE47" t="e">
        <f>AND(#REF!,"AAAAAH/021I=")</f>
        <v>#REF!</v>
      </c>
      <c r="CF47" t="e">
        <f>AND(#REF!,"AAAAAH/021M=")</f>
        <v>#REF!</v>
      </c>
      <c r="CG47" t="e">
        <f>AND(#REF!,"AAAAAH/021Q=")</f>
        <v>#REF!</v>
      </c>
      <c r="CH47" t="e">
        <f>AND(#REF!,"AAAAAH/021U=")</f>
        <v>#REF!</v>
      </c>
      <c r="CI47" t="e">
        <f>AND(#REF!,"AAAAAH/021Y=")</f>
        <v>#REF!</v>
      </c>
      <c r="CJ47" t="e">
        <f>AND(#REF!,"AAAAAH/021c=")</f>
        <v>#REF!</v>
      </c>
      <c r="CK47" t="e">
        <f>AND(#REF!,"AAAAAH/021g=")</f>
        <v>#REF!</v>
      </c>
      <c r="CL47" t="e">
        <f>AND(#REF!,"AAAAAH/021k=")</f>
        <v>#REF!</v>
      </c>
      <c r="CM47" t="e">
        <f>AND(#REF!,"AAAAAH/021o=")</f>
        <v>#REF!</v>
      </c>
      <c r="CN47" t="e">
        <f>AND(#REF!,"AAAAAH/021s=")</f>
        <v>#REF!</v>
      </c>
      <c r="CO47" t="e">
        <f>AND(#REF!,"AAAAAH/021w=")</f>
        <v>#REF!</v>
      </c>
      <c r="CP47" t="e">
        <f>AND(#REF!,"AAAAAH/0210=")</f>
        <v>#REF!</v>
      </c>
      <c r="CQ47" t="e">
        <f>AND(#REF!,"AAAAAH/0214=")</f>
        <v>#REF!</v>
      </c>
      <c r="CR47" t="e">
        <f>AND(#REF!,"AAAAAH/0218=")</f>
        <v>#REF!</v>
      </c>
      <c r="CS47" t="e">
        <f>IF(#REF!,"AAAAAH/022A=",0)</f>
        <v>#REF!</v>
      </c>
      <c r="CT47" t="e">
        <f>AND(#REF!,"AAAAAH/022E=")</f>
        <v>#REF!</v>
      </c>
      <c r="CU47" t="e">
        <f>AND(#REF!,"AAAAAH/022I=")</f>
        <v>#REF!</v>
      </c>
      <c r="CV47" t="e">
        <f>AND(#REF!,"AAAAAH/022M=")</f>
        <v>#REF!</v>
      </c>
      <c r="CW47" t="e">
        <f>AND(#REF!,"AAAAAH/022Q=")</f>
        <v>#REF!</v>
      </c>
      <c r="CX47" t="e">
        <f>AND(#REF!,"AAAAAH/022U=")</f>
        <v>#REF!</v>
      </c>
      <c r="CY47" t="e">
        <f>AND(#REF!,"AAAAAH/022Y=")</f>
        <v>#REF!</v>
      </c>
      <c r="CZ47" t="e">
        <f>AND(#REF!,"AAAAAH/022c=")</f>
        <v>#REF!</v>
      </c>
      <c r="DA47" t="e">
        <f>AND(#REF!,"AAAAAH/022g=")</f>
        <v>#REF!</v>
      </c>
      <c r="DB47" t="e">
        <f>AND(#REF!,"AAAAAH/022k=")</f>
        <v>#REF!</v>
      </c>
      <c r="DC47" t="e">
        <f>AND(#REF!,"AAAAAH/022o=")</f>
        <v>#REF!</v>
      </c>
      <c r="DD47" t="e">
        <f>AND(#REF!,"AAAAAH/022s=")</f>
        <v>#REF!</v>
      </c>
      <c r="DE47" t="e">
        <f>AND(#REF!,"AAAAAH/022w=")</f>
        <v>#REF!</v>
      </c>
      <c r="DF47" t="e">
        <f>AND(#REF!,"AAAAAH/0220=")</f>
        <v>#REF!</v>
      </c>
      <c r="DG47" t="e">
        <f>AND(#REF!,"AAAAAH/0224=")</f>
        <v>#REF!</v>
      </c>
      <c r="DH47" t="e">
        <f>AND(#REF!,"AAAAAH/0228=")</f>
        <v>#REF!</v>
      </c>
      <c r="DI47" t="e">
        <f>AND(#REF!,"AAAAAH/023A=")</f>
        <v>#REF!</v>
      </c>
      <c r="DJ47" t="e">
        <f>AND(#REF!,"AAAAAH/023E=")</f>
        <v>#REF!</v>
      </c>
      <c r="DK47" t="e">
        <f>AND(#REF!,"AAAAAH/023I=")</f>
        <v>#REF!</v>
      </c>
      <c r="DL47" t="e">
        <f>AND(#REF!,"AAAAAH/023M=")</f>
        <v>#REF!</v>
      </c>
      <c r="DM47" t="e">
        <f>AND(#REF!,"AAAAAH/023Q=")</f>
        <v>#REF!</v>
      </c>
      <c r="DN47" t="e">
        <f>AND(#REF!,"AAAAAH/023U=")</f>
        <v>#REF!</v>
      </c>
      <c r="DO47" t="e">
        <f>AND(#REF!,"AAAAAH/023Y=")</f>
        <v>#REF!</v>
      </c>
      <c r="DP47" t="e">
        <f>AND(#REF!,"AAAAAH/023c=")</f>
        <v>#REF!</v>
      </c>
      <c r="DQ47" t="e">
        <f>AND(#REF!,"AAAAAH/023g=")</f>
        <v>#REF!</v>
      </c>
      <c r="DR47" t="e">
        <f>AND(#REF!,"AAAAAH/023k=")</f>
        <v>#REF!</v>
      </c>
      <c r="DS47" t="e">
        <f>AND(#REF!,"AAAAAH/023o=")</f>
        <v>#REF!</v>
      </c>
      <c r="DT47" t="e">
        <f>IF(#REF!,"AAAAAH/023s=",0)</f>
        <v>#REF!</v>
      </c>
      <c r="DU47" t="e">
        <f>AND(#REF!,"AAAAAH/023w=")</f>
        <v>#REF!</v>
      </c>
      <c r="DV47" t="e">
        <f>AND(#REF!,"AAAAAH/0230=")</f>
        <v>#REF!</v>
      </c>
      <c r="DW47" t="e">
        <f>AND(#REF!,"AAAAAH/0234=")</f>
        <v>#REF!</v>
      </c>
      <c r="DX47" t="e">
        <f>AND(#REF!,"AAAAAH/0238=")</f>
        <v>#REF!</v>
      </c>
      <c r="DY47" t="e">
        <f>AND(#REF!,"AAAAAH/024A=")</f>
        <v>#REF!</v>
      </c>
      <c r="DZ47" t="e">
        <f>AND(#REF!,"AAAAAH/024E=")</f>
        <v>#REF!</v>
      </c>
      <c r="EA47" t="e">
        <f>AND(#REF!,"AAAAAH/024I=")</f>
        <v>#REF!</v>
      </c>
      <c r="EB47" t="e">
        <f>AND(#REF!,"AAAAAH/024M=")</f>
        <v>#REF!</v>
      </c>
      <c r="EC47" t="e">
        <f>AND(#REF!,"AAAAAH/024Q=")</f>
        <v>#REF!</v>
      </c>
      <c r="ED47" t="e">
        <f>AND(#REF!,"AAAAAH/024U=")</f>
        <v>#REF!</v>
      </c>
      <c r="EE47" t="e">
        <f>AND(#REF!,"AAAAAH/024Y=")</f>
        <v>#REF!</v>
      </c>
      <c r="EF47" t="e">
        <f>AND(#REF!,"AAAAAH/024c=")</f>
        <v>#REF!</v>
      </c>
      <c r="EG47" t="e">
        <f>AND(#REF!,"AAAAAH/024g=")</f>
        <v>#REF!</v>
      </c>
      <c r="EH47" t="e">
        <f>AND(#REF!,"AAAAAH/024k=")</f>
        <v>#REF!</v>
      </c>
      <c r="EI47" t="e">
        <f>AND(#REF!,"AAAAAH/024o=")</f>
        <v>#REF!</v>
      </c>
      <c r="EJ47" t="e">
        <f>AND(#REF!,"AAAAAH/024s=")</f>
        <v>#REF!</v>
      </c>
      <c r="EK47" t="e">
        <f>AND(#REF!,"AAAAAH/024w=")</f>
        <v>#REF!</v>
      </c>
      <c r="EL47" t="e">
        <f>AND(#REF!,"AAAAAH/0240=")</f>
        <v>#REF!</v>
      </c>
      <c r="EM47" t="e">
        <f>AND(#REF!,"AAAAAH/0244=")</f>
        <v>#REF!</v>
      </c>
      <c r="EN47" t="e">
        <f>AND(#REF!,"AAAAAH/0248=")</f>
        <v>#REF!</v>
      </c>
      <c r="EO47" t="e">
        <f>AND(#REF!,"AAAAAH/025A=")</f>
        <v>#REF!</v>
      </c>
      <c r="EP47" t="e">
        <f>AND(#REF!,"AAAAAH/025E=")</f>
        <v>#REF!</v>
      </c>
      <c r="EQ47" t="e">
        <f>AND(#REF!,"AAAAAH/025I=")</f>
        <v>#REF!</v>
      </c>
      <c r="ER47" t="e">
        <f>AND(#REF!,"AAAAAH/025M=")</f>
        <v>#REF!</v>
      </c>
      <c r="ES47" t="e">
        <f>AND(#REF!,"AAAAAH/025Q=")</f>
        <v>#REF!</v>
      </c>
      <c r="ET47" t="e">
        <f>AND(#REF!,"AAAAAH/025U=")</f>
        <v>#REF!</v>
      </c>
      <c r="EU47" t="e">
        <f>IF(#REF!,"AAAAAH/025Y=",0)</f>
        <v>#REF!</v>
      </c>
      <c r="EV47" t="e">
        <f>AND(#REF!,"AAAAAH/025c=")</f>
        <v>#REF!</v>
      </c>
      <c r="EW47" t="e">
        <f>AND(#REF!,"AAAAAH/025g=")</f>
        <v>#REF!</v>
      </c>
      <c r="EX47" t="e">
        <f>AND(#REF!,"AAAAAH/025k=")</f>
        <v>#REF!</v>
      </c>
      <c r="EY47" t="e">
        <f>AND(#REF!,"AAAAAH/025o=")</f>
        <v>#REF!</v>
      </c>
      <c r="EZ47" t="e">
        <f>AND(#REF!,"AAAAAH/025s=")</f>
        <v>#REF!</v>
      </c>
      <c r="FA47" t="e">
        <f>AND(#REF!,"AAAAAH/025w=")</f>
        <v>#REF!</v>
      </c>
      <c r="FB47" t="e">
        <f>AND(#REF!,"AAAAAH/0250=")</f>
        <v>#REF!</v>
      </c>
      <c r="FC47" t="e">
        <f>AND(#REF!,"AAAAAH/0254=")</f>
        <v>#REF!</v>
      </c>
      <c r="FD47" t="e">
        <f>AND(#REF!,"AAAAAH/0258=")</f>
        <v>#REF!</v>
      </c>
      <c r="FE47" t="e">
        <f>AND(#REF!,"AAAAAH/026A=")</f>
        <v>#REF!</v>
      </c>
      <c r="FF47" t="e">
        <f>AND(#REF!,"AAAAAH/026E=")</f>
        <v>#REF!</v>
      </c>
      <c r="FG47" t="e">
        <f>AND(#REF!,"AAAAAH/026I=")</f>
        <v>#REF!</v>
      </c>
      <c r="FH47" t="e">
        <f>AND(#REF!,"AAAAAH/026M=")</f>
        <v>#REF!</v>
      </c>
      <c r="FI47" t="e">
        <f>AND(#REF!,"AAAAAH/026Q=")</f>
        <v>#REF!</v>
      </c>
      <c r="FJ47" t="e">
        <f>AND(#REF!,"AAAAAH/026U=")</f>
        <v>#REF!</v>
      </c>
      <c r="FK47" t="e">
        <f>AND(#REF!,"AAAAAH/026Y=")</f>
        <v>#REF!</v>
      </c>
      <c r="FL47" t="e">
        <f>AND(#REF!,"AAAAAH/026c=")</f>
        <v>#REF!</v>
      </c>
      <c r="FM47" t="e">
        <f>AND(#REF!,"AAAAAH/026g=")</f>
        <v>#REF!</v>
      </c>
      <c r="FN47" t="e">
        <f>AND(#REF!,"AAAAAH/026k=")</f>
        <v>#REF!</v>
      </c>
      <c r="FO47" t="e">
        <f>AND(#REF!,"AAAAAH/026o=")</f>
        <v>#REF!</v>
      </c>
      <c r="FP47" t="e">
        <f>AND(#REF!,"AAAAAH/026s=")</f>
        <v>#REF!</v>
      </c>
      <c r="FQ47" t="e">
        <f>AND(#REF!,"AAAAAH/026w=")</f>
        <v>#REF!</v>
      </c>
      <c r="FR47" t="e">
        <f>AND(#REF!,"AAAAAH/0260=")</f>
        <v>#REF!</v>
      </c>
      <c r="FS47" t="e">
        <f>AND(#REF!,"AAAAAH/0264=")</f>
        <v>#REF!</v>
      </c>
      <c r="FT47" t="e">
        <f>AND(#REF!,"AAAAAH/0268=")</f>
        <v>#REF!</v>
      </c>
      <c r="FU47" t="e">
        <f>AND(#REF!,"AAAAAH/027A=")</f>
        <v>#REF!</v>
      </c>
      <c r="FV47" t="e">
        <f>IF(#REF!,"AAAAAH/027E=",0)</f>
        <v>#REF!</v>
      </c>
      <c r="FW47" t="e">
        <f>AND(#REF!,"AAAAAH/027I=")</f>
        <v>#REF!</v>
      </c>
      <c r="FX47" t="e">
        <f>AND(#REF!,"AAAAAH/027M=")</f>
        <v>#REF!</v>
      </c>
      <c r="FY47" t="e">
        <f>AND(#REF!,"AAAAAH/027Q=")</f>
        <v>#REF!</v>
      </c>
      <c r="FZ47" t="e">
        <f>AND(#REF!,"AAAAAH/027U=")</f>
        <v>#REF!</v>
      </c>
      <c r="GA47" t="e">
        <f>AND(#REF!,"AAAAAH/027Y=")</f>
        <v>#REF!</v>
      </c>
      <c r="GB47" t="e">
        <f>AND(#REF!,"AAAAAH/027c=")</f>
        <v>#REF!</v>
      </c>
      <c r="GC47" t="e">
        <f>AND(#REF!,"AAAAAH/027g=")</f>
        <v>#REF!</v>
      </c>
      <c r="GD47" t="e">
        <f>AND(#REF!,"AAAAAH/027k=")</f>
        <v>#REF!</v>
      </c>
      <c r="GE47" t="e">
        <f>AND(#REF!,"AAAAAH/027o=")</f>
        <v>#REF!</v>
      </c>
      <c r="GF47" t="e">
        <f>AND(#REF!,"AAAAAH/027s=")</f>
        <v>#REF!</v>
      </c>
      <c r="GG47" t="e">
        <f>AND(#REF!,"AAAAAH/027w=")</f>
        <v>#REF!</v>
      </c>
      <c r="GH47" t="e">
        <f>AND(#REF!,"AAAAAH/0270=")</f>
        <v>#REF!</v>
      </c>
      <c r="GI47" t="e">
        <f>AND(#REF!,"AAAAAH/0274=")</f>
        <v>#REF!</v>
      </c>
      <c r="GJ47" t="e">
        <f>AND(#REF!,"AAAAAH/0278=")</f>
        <v>#REF!</v>
      </c>
      <c r="GK47" t="e">
        <f>AND(#REF!,"AAAAAH/028A=")</f>
        <v>#REF!</v>
      </c>
      <c r="GL47" t="e">
        <f>AND(#REF!,"AAAAAH/028E=")</f>
        <v>#REF!</v>
      </c>
      <c r="GM47" t="e">
        <f>AND(#REF!,"AAAAAH/028I=")</f>
        <v>#REF!</v>
      </c>
      <c r="GN47" t="e">
        <f>AND(#REF!,"AAAAAH/028M=")</f>
        <v>#REF!</v>
      </c>
      <c r="GO47" t="e">
        <f>AND(#REF!,"AAAAAH/028Q=")</f>
        <v>#REF!</v>
      </c>
      <c r="GP47" t="e">
        <f>AND(#REF!,"AAAAAH/028U=")</f>
        <v>#REF!</v>
      </c>
      <c r="GQ47" t="e">
        <f>AND(#REF!,"AAAAAH/028Y=")</f>
        <v>#REF!</v>
      </c>
      <c r="GR47" t="e">
        <f>AND(#REF!,"AAAAAH/028c=")</f>
        <v>#REF!</v>
      </c>
      <c r="GS47" t="e">
        <f>AND(#REF!,"AAAAAH/028g=")</f>
        <v>#REF!</v>
      </c>
      <c r="GT47" t="e">
        <f>AND(#REF!,"AAAAAH/028k=")</f>
        <v>#REF!</v>
      </c>
      <c r="GU47" t="e">
        <f>AND(#REF!,"AAAAAH/028o=")</f>
        <v>#REF!</v>
      </c>
      <c r="GV47" t="e">
        <f>AND(#REF!,"AAAAAH/028s=")</f>
        <v>#REF!</v>
      </c>
      <c r="GW47" t="e">
        <f>IF(#REF!,"AAAAAH/028w=",0)</f>
        <v>#REF!</v>
      </c>
      <c r="GX47" t="e">
        <f>AND(#REF!,"AAAAAH/0280=")</f>
        <v>#REF!</v>
      </c>
      <c r="GY47" t="e">
        <f>AND(#REF!,"AAAAAH/0284=")</f>
        <v>#REF!</v>
      </c>
      <c r="GZ47" t="e">
        <f>AND(#REF!,"AAAAAH/0288=")</f>
        <v>#REF!</v>
      </c>
      <c r="HA47" t="e">
        <f>AND(#REF!,"AAAAAH/029A=")</f>
        <v>#REF!</v>
      </c>
      <c r="HB47" t="e">
        <f>AND(#REF!,"AAAAAH/029E=")</f>
        <v>#REF!</v>
      </c>
      <c r="HC47" t="e">
        <f>AND(#REF!,"AAAAAH/029I=")</f>
        <v>#REF!</v>
      </c>
      <c r="HD47" t="e">
        <f>AND(#REF!,"AAAAAH/029M=")</f>
        <v>#REF!</v>
      </c>
      <c r="HE47" t="e">
        <f>AND(#REF!,"AAAAAH/029Q=")</f>
        <v>#REF!</v>
      </c>
      <c r="HF47" t="e">
        <f>AND(#REF!,"AAAAAH/029U=")</f>
        <v>#REF!</v>
      </c>
      <c r="HG47" t="e">
        <f>AND(#REF!,"AAAAAH/029Y=")</f>
        <v>#REF!</v>
      </c>
      <c r="HH47" t="e">
        <f>AND(#REF!,"AAAAAH/029c=")</f>
        <v>#REF!</v>
      </c>
      <c r="HI47" t="e">
        <f>AND(#REF!,"AAAAAH/029g=")</f>
        <v>#REF!</v>
      </c>
      <c r="HJ47" t="e">
        <f>AND(#REF!,"AAAAAH/029k=")</f>
        <v>#REF!</v>
      </c>
      <c r="HK47" t="e">
        <f>AND(#REF!,"AAAAAH/029o=")</f>
        <v>#REF!</v>
      </c>
      <c r="HL47" t="e">
        <f>AND(#REF!,"AAAAAH/029s=")</f>
        <v>#REF!</v>
      </c>
      <c r="HM47" t="e">
        <f>AND(#REF!,"AAAAAH/029w=")</f>
        <v>#REF!</v>
      </c>
      <c r="HN47" t="e">
        <f>AND(#REF!,"AAAAAH/0290=")</f>
        <v>#REF!</v>
      </c>
      <c r="HO47" t="e">
        <f>AND(#REF!,"AAAAAH/0294=")</f>
        <v>#REF!</v>
      </c>
      <c r="HP47" t="e">
        <f>AND(#REF!,"AAAAAH/0298=")</f>
        <v>#REF!</v>
      </c>
      <c r="HQ47" t="e">
        <f>AND(#REF!,"AAAAAH/02+A=")</f>
        <v>#REF!</v>
      </c>
      <c r="HR47" t="e">
        <f>AND(#REF!,"AAAAAH/02+E=")</f>
        <v>#REF!</v>
      </c>
      <c r="HS47" t="e">
        <f>AND(#REF!,"AAAAAH/02+I=")</f>
        <v>#REF!</v>
      </c>
      <c r="HT47" t="e">
        <f>AND(#REF!,"AAAAAH/02+M=")</f>
        <v>#REF!</v>
      </c>
      <c r="HU47" t="e">
        <f>AND(#REF!,"AAAAAH/02+Q=")</f>
        <v>#REF!</v>
      </c>
      <c r="HV47" t="e">
        <f>AND(#REF!,"AAAAAH/02+U=")</f>
        <v>#REF!</v>
      </c>
      <c r="HW47" t="e">
        <f>AND(#REF!,"AAAAAH/02+Y=")</f>
        <v>#REF!</v>
      </c>
      <c r="HX47" t="e">
        <f>IF(#REF!,"AAAAAH/02+c=",0)</f>
        <v>#REF!</v>
      </c>
      <c r="HY47" t="e">
        <f>AND(#REF!,"AAAAAH/02+g=")</f>
        <v>#REF!</v>
      </c>
      <c r="HZ47" t="e">
        <f>AND(#REF!,"AAAAAH/02+k=")</f>
        <v>#REF!</v>
      </c>
      <c r="IA47" t="e">
        <f>AND(#REF!,"AAAAAH/02+o=")</f>
        <v>#REF!</v>
      </c>
      <c r="IB47" t="e">
        <f>AND(#REF!,"AAAAAH/02+s=")</f>
        <v>#REF!</v>
      </c>
      <c r="IC47" t="e">
        <f>AND(#REF!,"AAAAAH/02+w=")</f>
        <v>#REF!</v>
      </c>
      <c r="ID47" t="e">
        <f>AND(#REF!,"AAAAAH/02+0=")</f>
        <v>#REF!</v>
      </c>
      <c r="IE47" t="e">
        <f>AND(#REF!,"AAAAAH/02+4=")</f>
        <v>#REF!</v>
      </c>
      <c r="IF47" t="e">
        <f>AND(#REF!,"AAAAAH/02+8=")</f>
        <v>#REF!</v>
      </c>
      <c r="IG47" t="e">
        <f>AND(#REF!,"AAAAAH/02/A=")</f>
        <v>#REF!</v>
      </c>
      <c r="IH47" t="e">
        <f>AND(#REF!,"AAAAAH/02/E=")</f>
        <v>#REF!</v>
      </c>
      <c r="II47" t="e">
        <f>AND(#REF!,"AAAAAH/02/I=")</f>
        <v>#REF!</v>
      </c>
      <c r="IJ47" t="e">
        <f>AND(#REF!,"AAAAAH/02/M=")</f>
        <v>#REF!</v>
      </c>
      <c r="IK47" t="e">
        <f>AND(#REF!,"AAAAAH/02/Q=")</f>
        <v>#REF!</v>
      </c>
      <c r="IL47" t="e">
        <f>AND(#REF!,"AAAAAH/02/U=")</f>
        <v>#REF!</v>
      </c>
      <c r="IM47" t="e">
        <f>AND(#REF!,"AAAAAH/02/Y=")</f>
        <v>#REF!</v>
      </c>
      <c r="IN47" t="e">
        <f>AND(#REF!,"AAAAAH/02/c=")</f>
        <v>#REF!</v>
      </c>
      <c r="IO47" t="e">
        <f>AND(#REF!,"AAAAAH/02/g=")</f>
        <v>#REF!</v>
      </c>
      <c r="IP47" t="e">
        <f>AND(#REF!,"AAAAAH/02/k=")</f>
        <v>#REF!</v>
      </c>
      <c r="IQ47" t="e">
        <f>AND(#REF!,"AAAAAH/02/o=")</f>
        <v>#REF!</v>
      </c>
      <c r="IR47" t="e">
        <f>AND(#REF!,"AAAAAH/02/s=")</f>
        <v>#REF!</v>
      </c>
      <c r="IS47" t="e">
        <f>AND(#REF!,"AAAAAH/02/w=")</f>
        <v>#REF!</v>
      </c>
      <c r="IT47" t="e">
        <f>AND(#REF!,"AAAAAH/02/0=")</f>
        <v>#REF!</v>
      </c>
      <c r="IU47" t="e">
        <f>AND(#REF!,"AAAAAH/02/4=")</f>
        <v>#REF!</v>
      </c>
      <c r="IV47" t="e">
        <f>AND(#REF!,"AAAAAH/02/8=")</f>
        <v>#REF!</v>
      </c>
    </row>
    <row r="48" spans="1:256" x14ac:dyDescent="0.2">
      <c r="A48" t="e">
        <f>AND(#REF!,"AAAAAF5j7wA=")</f>
        <v>#REF!</v>
      </c>
      <c r="B48" t="e">
        <f>AND(#REF!,"AAAAAF5j7wE=")</f>
        <v>#REF!</v>
      </c>
      <c r="C48" t="e">
        <f>IF(#REF!,"AAAAAF5j7wI=",0)</f>
        <v>#REF!</v>
      </c>
      <c r="D48" t="e">
        <f>AND(#REF!,"AAAAAF5j7wM=")</f>
        <v>#REF!</v>
      </c>
      <c r="E48" t="e">
        <f>AND(#REF!,"AAAAAF5j7wQ=")</f>
        <v>#REF!</v>
      </c>
      <c r="F48" t="e">
        <f>AND(#REF!,"AAAAAF5j7wU=")</f>
        <v>#REF!</v>
      </c>
      <c r="G48" t="e">
        <f>AND(#REF!,"AAAAAF5j7wY=")</f>
        <v>#REF!</v>
      </c>
      <c r="H48" t="e">
        <f>AND(#REF!,"AAAAAF5j7wc=")</f>
        <v>#REF!</v>
      </c>
      <c r="I48" t="e">
        <f>AND(#REF!,"AAAAAF5j7wg=")</f>
        <v>#REF!</v>
      </c>
      <c r="J48" t="e">
        <f>AND(#REF!,"AAAAAF5j7wk=")</f>
        <v>#REF!</v>
      </c>
      <c r="K48" t="e">
        <f>AND(#REF!,"AAAAAF5j7wo=")</f>
        <v>#REF!</v>
      </c>
      <c r="L48" t="e">
        <f>AND(#REF!,"AAAAAF5j7ws=")</f>
        <v>#REF!</v>
      </c>
      <c r="M48" t="e">
        <f>AND(#REF!,"AAAAAF5j7ww=")</f>
        <v>#REF!</v>
      </c>
      <c r="N48" t="e">
        <f>AND(#REF!,"AAAAAF5j7w0=")</f>
        <v>#REF!</v>
      </c>
      <c r="O48" t="e">
        <f>AND(#REF!,"AAAAAF5j7w4=")</f>
        <v>#REF!</v>
      </c>
      <c r="P48" t="e">
        <f>AND(#REF!,"AAAAAF5j7w8=")</f>
        <v>#REF!</v>
      </c>
      <c r="Q48" t="e">
        <f>AND(#REF!,"AAAAAF5j7xA=")</f>
        <v>#REF!</v>
      </c>
      <c r="R48" t="e">
        <f>AND(#REF!,"AAAAAF5j7xE=")</f>
        <v>#REF!</v>
      </c>
      <c r="S48" t="e">
        <f>AND(#REF!,"AAAAAF5j7xI=")</f>
        <v>#REF!</v>
      </c>
      <c r="T48" t="e">
        <f>AND(#REF!,"AAAAAF5j7xM=")</f>
        <v>#REF!</v>
      </c>
      <c r="U48" t="e">
        <f>AND(#REF!,"AAAAAF5j7xQ=")</f>
        <v>#REF!</v>
      </c>
      <c r="V48" t="e">
        <f>AND(#REF!,"AAAAAF5j7xU=")</f>
        <v>#REF!</v>
      </c>
      <c r="W48" t="e">
        <f>AND(#REF!,"AAAAAF5j7xY=")</f>
        <v>#REF!</v>
      </c>
      <c r="X48" t="e">
        <f>AND(#REF!,"AAAAAF5j7xc=")</f>
        <v>#REF!</v>
      </c>
      <c r="Y48" t="e">
        <f>AND(#REF!,"AAAAAF5j7xg=")</f>
        <v>#REF!</v>
      </c>
      <c r="Z48" t="e">
        <f>AND(#REF!,"AAAAAF5j7xk=")</f>
        <v>#REF!</v>
      </c>
      <c r="AA48" t="e">
        <f>AND(#REF!,"AAAAAF5j7xo=")</f>
        <v>#REF!</v>
      </c>
      <c r="AB48" t="e">
        <f>AND(#REF!,"AAAAAF5j7xs=")</f>
        <v>#REF!</v>
      </c>
      <c r="AC48" t="e">
        <f>AND(#REF!,"AAAAAF5j7xw=")</f>
        <v>#REF!</v>
      </c>
      <c r="AD48" t="e">
        <f>IF(#REF!,"AAAAAF5j7x0=",0)</f>
        <v>#REF!</v>
      </c>
      <c r="AE48" t="e">
        <f>AND(#REF!,"AAAAAF5j7x4=")</f>
        <v>#REF!</v>
      </c>
      <c r="AF48" t="e">
        <f>AND(#REF!,"AAAAAF5j7x8=")</f>
        <v>#REF!</v>
      </c>
      <c r="AG48" t="e">
        <f>AND(#REF!,"AAAAAF5j7yA=")</f>
        <v>#REF!</v>
      </c>
      <c r="AH48" t="e">
        <f>AND(#REF!,"AAAAAF5j7yE=")</f>
        <v>#REF!</v>
      </c>
      <c r="AI48" t="e">
        <f>AND(#REF!,"AAAAAF5j7yI=")</f>
        <v>#REF!</v>
      </c>
      <c r="AJ48" t="e">
        <f>AND(#REF!,"AAAAAF5j7yM=")</f>
        <v>#REF!</v>
      </c>
      <c r="AK48" t="e">
        <f>AND(#REF!,"AAAAAF5j7yQ=")</f>
        <v>#REF!</v>
      </c>
      <c r="AL48" t="e">
        <f>AND(#REF!,"AAAAAF5j7yU=")</f>
        <v>#REF!</v>
      </c>
      <c r="AM48" t="e">
        <f>AND(#REF!,"AAAAAF5j7yY=")</f>
        <v>#REF!</v>
      </c>
      <c r="AN48" t="e">
        <f>AND(#REF!,"AAAAAF5j7yc=")</f>
        <v>#REF!</v>
      </c>
      <c r="AO48" t="e">
        <f>AND(#REF!,"AAAAAF5j7yg=")</f>
        <v>#REF!</v>
      </c>
      <c r="AP48" t="e">
        <f>AND(#REF!,"AAAAAF5j7yk=")</f>
        <v>#REF!</v>
      </c>
      <c r="AQ48" t="e">
        <f>AND(#REF!,"AAAAAF5j7yo=")</f>
        <v>#REF!</v>
      </c>
      <c r="AR48" t="e">
        <f>AND(#REF!,"AAAAAF5j7ys=")</f>
        <v>#REF!</v>
      </c>
      <c r="AS48" t="e">
        <f>AND(#REF!,"AAAAAF5j7yw=")</f>
        <v>#REF!</v>
      </c>
      <c r="AT48" t="e">
        <f>AND(#REF!,"AAAAAF5j7y0=")</f>
        <v>#REF!</v>
      </c>
      <c r="AU48" t="e">
        <f>AND(#REF!,"AAAAAF5j7y4=")</f>
        <v>#REF!</v>
      </c>
      <c r="AV48" t="e">
        <f>AND(#REF!,"AAAAAF5j7y8=")</f>
        <v>#REF!</v>
      </c>
      <c r="AW48" t="e">
        <f>AND(#REF!,"AAAAAF5j7zA=")</f>
        <v>#REF!</v>
      </c>
      <c r="AX48" t="e">
        <f>AND(#REF!,"AAAAAF5j7zE=")</f>
        <v>#REF!</v>
      </c>
      <c r="AY48" t="e">
        <f>AND(#REF!,"AAAAAF5j7zI=")</f>
        <v>#REF!</v>
      </c>
      <c r="AZ48" t="e">
        <f>AND(#REF!,"AAAAAF5j7zM=")</f>
        <v>#REF!</v>
      </c>
      <c r="BA48" t="e">
        <f>AND(#REF!,"AAAAAF5j7zQ=")</f>
        <v>#REF!</v>
      </c>
      <c r="BB48" t="e">
        <f>AND(#REF!,"AAAAAF5j7zU=")</f>
        <v>#REF!</v>
      </c>
      <c r="BC48" t="e">
        <f>AND(#REF!,"AAAAAF5j7zY=")</f>
        <v>#REF!</v>
      </c>
      <c r="BD48" t="e">
        <f>AND(#REF!,"AAAAAF5j7zc=")</f>
        <v>#REF!</v>
      </c>
      <c r="BE48" t="e">
        <f>IF(#REF!,"AAAAAF5j7zg=",0)</f>
        <v>#REF!</v>
      </c>
      <c r="BF48" t="e">
        <f>AND(#REF!,"AAAAAF5j7zk=")</f>
        <v>#REF!</v>
      </c>
      <c r="BG48" t="e">
        <f>AND(#REF!,"AAAAAF5j7zo=")</f>
        <v>#REF!</v>
      </c>
      <c r="BH48" t="e">
        <f>AND(#REF!,"AAAAAF5j7zs=")</f>
        <v>#REF!</v>
      </c>
      <c r="BI48" t="e">
        <f>AND(#REF!,"AAAAAF5j7zw=")</f>
        <v>#REF!</v>
      </c>
      <c r="BJ48" t="e">
        <f>AND(#REF!,"AAAAAF5j7z0=")</f>
        <v>#REF!</v>
      </c>
      <c r="BK48" t="e">
        <f>AND(#REF!,"AAAAAF5j7z4=")</f>
        <v>#REF!</v>
      </c>
      <c r="BL48" t="e">
        <f>AND(#REF!,"AAAAAF5j7z8=")</f>
        <v>#REF!</v>
      </c>
      <c r="BM48" t="e">
        <f>AND(#REF!,"AAAAAF5j70A=")</f>
        <v>#REF!</v>
      </c>
      <c r="BN48" t="e">
        <f>AND(#REF!,"AAAAAF5j70E=")</f>
        <v>#REF!</v>
      </c>
      <c r="BO48" t="e">
        <f>AND(#REF!,"AAAAAF5j70I=")</f>
        <v>#REF!</v>
      </c>
      <c r="BP48" t="e">
        <f>AND(#REF!,"AAAAAF5j70M=")</f>
        <v>#REF!</v>
      </c>
      <c r="BQ48" t="e">
        <f>AND(#REF!,"AAAAAF5j70Q=")</f>
        <v>#REF!</v>
      </c>
      <c r="BR48" t="e">
        <f>AND(#REF!,"AAAAAF5j70U=")</f>
        <v>#REF!</v>
      </c>
      <c r="BS48" t="e">
        <f>AND(#REF!,"AAAAAF5j70Y=")</f>
        <v>#REF!</v>
      </c>
      <c r="BT48" t="e">
        <f>AND(#REF!,"AAAAAF5j70c=")</f>
        <v>#REF!</v>
      </c>
      <c r="BU48" t="e">
        <f>AND(#REF!,"AAAAAF5j70g=")</f>
        <v>#REF!</v>
      </c>
      <c r="BV48" t="e">
        <f>AND(#REF!,"AAAAAF5j70k=")</f>
        <v>#REF!</v>
      </c>
      <c r="BW48" t="e">
        <f>AND(#REF!,"AAAAAF5j70o=")</f>
        <v>#REF!</v>
      </c>
      <c r="BX48" t="e">
        <f>AND(#REF!,"AAAAAF5j70s=")</f>
        <v>#REF!</v>
      </c>
      <c r="BY48" t="e">
        <f>AND(#REF!,"AAAAAF5j70w=")</f>
        <v>#REF!</v>
      </c>
      <c r="BZ48" t="e">
        <f>AND(#REF!,"AAAAAF5j700=")</f>
        <v>#REF!</v>
      </c>
      <c r="CA48" t="e">
        <f>AND(#REF!,"AAAAAF5j704=")</f>
        <v>#REF!</v>
      </c>
      <c r="CB48" t="e">
        <f>AND(#REF!,"AAAAAF5j708=")</f>
        <v>#REF!</v>
      </c>
      <c r="CC48" t="e">
        <f>AND(#REF!,"AAAAAF5j71A=")</f>
        <v>#REF!</v>
      </c>
      <c r="CD48" t="e">
        <f>AND(#REF!,"AAAAAF5j71E=")</f>
        <v>#REF!</v>
      </c>
      <c r="CE48" t="e">
        <f>AND(#REF!,"AAAAAF5j71I=")</f>
        <v>#REF!</v>
      </c>
      <c r="CF48" t="e">
        <f>IF(#REF!,"AAAAAF5j71M=",0)</f>
        <v>#REF!</v>
      </c>
      <c r="CG48" t="e">
        <f>AND(#REF!,"AAAAAF5j71Q=")</f>
        <v>#REF!</v>
      </c>
      <c r="CH48" t="e">
        <f>AND(#REF!,"AAAAAF5j71U=")</f>
        <v>#REF!</v>
      </c>
      <c r="CI48" t="e">
        <f>AND(#REF!,"AAAAAF5j71Y=")</f>
        <v>#REF!</v>
      </c>
      <c r="CJ48" t="e">
        <f>AND(#REF!,"AAAAAF5j71c=")</f>
        <v>#REF!</v>
      </c>
      <c r="CK48" t="e">
        <f>AND(#REF!,"AAAAAF5j71g=")</f>
        <v>#REF!</v>
      </c>
      <c r="CL48" t="e">
        <f>AND(#REF!,"AAAAAF5j71k=")</f>
        <v>#REF!</v>
      </c>
      <c r="CM48" t="e">
        <f>AND(#REF!,"AAAAAF5j71o=")</f>
        <v>#REF!</v>
      </c>
      <c r="CN48" t="e">
        <f>AND(#REF!,"AAAAAF5j71s=")</f>
        <v>#REF!</v>
      </c>
      <c r="CO48" t="e">
        <f>AND(#REF!,"AAAAAF5j71w=")</f>
        <v>#REF!</v>
      </c>
      <c r="CP48" t="e">
        <f>AND(#REF!,"AAAAAF5j710=")</f>
        <v>#REF!</v>
      </c>
      <c r="CQ48" t="e">
        <f>AND(#REF!,"AAAAAF5j714=")</f>
        <v>#REF!</v>
      </c>
      <c r="CR48" t="e">
        <f>AND(#REF!,"AAAAAF5j718=")</f>
        <v>#REF!</v>
      </c>
      <c r="CS48" t="e">
        <f>AND(#REF!,"AAAAAF5j72A=")</f>
        <v>#REF!</v>
      </c>
      <c r="CT48" t="e">
        <f>AND(#REF!,"AAAAAF5j72E=")</f>
        <v>#REF!</v>
      </c>
      <c r="CU48" t="e">
        <f>AND(#REF!,"AAAAAF5j72I=")</f>
        <v>#REF!</v>
      </c>
      <c r="CV48" t="e">
        <f>AND(#REF!,"AAAAAF5j72M=")</f>
        <v>#REF!</v>
      </c>
      <c r="CW48" t="e">
        <f>AND(#REF!,"AAAAAF5j72Q=")</f>
        <v>#REF!</v>
      </c>
      <c r="CX48" t="e">
        <f>AND(#REF!,"AAAAAF5j72U=")</f>
        <v>#REF!</v>
      </c>
      <c r="CY48" t="e">
        <f>AND(#REF!,"AAAAAF5j72Y=")</f>
        <v>#REF!</v>
      </c>
      <c r="CZ48" t="e">
        <f>AND(#REF!,"AAAAAF5j72c=")</f>
        <v>#REF!</v>
      </c>
      <c r="DA48" t="e">
        <f>AND(#REF!,"AAAAAF5j72g=")</f>
        <v>#REF!</v>
      </c>
      <c r="DB48" t="e">
        <f>AND(#REF!,"AAAAAF5j72k=")</f>
        <v>#REF!</v>
      </c>
      <c r="DC48" t="e">
        <f>AND(#REF!,"AAAAAF5j72o=")</f>
        <v>#REF!</v>
      </c>
      <c r="DD48" t="e">
        <f>AND(#REF!,"AAAAAF5j72s=")</f>
        <v>#REF!</v>
      </c>
      <c r="DE48" t="e">
        <f>AND(#REF!,"AAAAAF5j72w=")</f>
        <v>#REF!</v>
      </c>
      <c r="DF48" t="e">
        <f>AND(#REF!,"AAAAAF5j720=")</f>
        <v>#REF!</v>
      </c>
      <c r="DG48" t="e">
        <f>IF(#REF!,"AAAAAF5j724=",0)</f>
        <v>#REF!</v>
      </c>
      <c r="DH48" t="e">
        <f>AND(#REF!,"AAAAAF5j728=")</f>
        <v>#REF!</v>
      </c>
      <c r="DI48" t="e">
        <f>AND(#REF!,"AAAAAF5j73A=")</f>
        <v>#REF!</v>
      </c>
      <c r="DJ48" t="e">
        <f>AND(#REF!,"AAAAAF5j73E=")</f>
        <v>#REF!</v>
      </c>
      <c r="DK48" t="e">
        <f>AND(#REF!,"AAAAAF5j73I=")</f>
        <v>#REF!</v>
      </c>
      <c r="DL48" t="e">
        <f>AND(#REF!,"AAAAAF5j73M=")</f>
        <v>#REF!</v>
      </c>
      <c r="DM48" t="e">
        <f>AND(#REF!,"AAAAAF5j73Q=")</f>
        <v>#REF!</v>
      </c>
      <c r="DN48" t="e">
        <f>AND(#REF!,"AAAAAF5j73U=")</f>
        <v>#REF!</v>
      </c>
      <c r="DO48" t="e">
        <f>AND(#REF!,"AAAAAF5j73Y=")</f>
        <v>#REF!</v>
      </c>
      <c r="DP48" t="e">
        <f>AND(#REF!,"AAAAAF5j73c=")</f>
        <v>#REF!</v>
      </c>
      <c r="DQ48" t="e">
        <f>AND(#REF!,"AAAAAF5j73g=")</f>
        <v>#REF!</v>
      </c>
      <c r="DR48" t="e">
        <f>AND(#REF!,"AAAAAF5j73k=")</f>
        <v>#REF!</v>
      </c>
      <c r="DS48" t="e">
        <f>AND(#REF!,"AAAAAF5j73o=")</f>
        <v>#REF!</v>
      </c>
      <c r="DT48" t="e">
        <f>AND(#REF!,"AAAAAF5j73s=")</f>
        <v>#REF!</v>
      </c>
      <c r="DU48" t="e">
        <f>AND(#REF!,"AAAAAF5j73w=")</f>
        <v>#REF!</v>
      </c>
      <c r="DV48" t="e">
        <f>AND(#REF!,"AAAAAF5j730=")</f>
        <v>#REF!</v>
      </c>
      <c r="DW48" t="e">
        <f>AND(#REF!,"AAAAAF5j734=")</f>
        <v>#REF!</v>
      </c>
      <c r="DX48" t="e">
        <f>AND(#REF!,"AAAAAF5j738=")</f>
        <v>#REF!</v>
      </c>
      <c r="DY48" t="e">
        <f>AND(#REF!,"AAAAAF5j74A=")</f>
        <v>#REF!</v>
      </c>
      <c r="DZ48" t="e">
        <f>AND(#REF!,"AAAAAF5j74E=")</f>
        <v>#REF!</v>
      </c>
      <c r="EA48" t="e">
        <f>AND(#REF!,"AAAAAF5j74I=")</f>
        <v>#REF!</v>
      </c>
      <c r="EB48" t="e">
        <f>AND(#REF!,"AAAAAF5j74M=")</f>
        <v>#REF!</v>
      </c>
      <c r="EC48" t="e">
        <f>AND(#REF!,"AAAAAF5j74Q=")</f>
        <v>#REF!</v>
      </c>
      <c r="ED48" t="e">
        <f>AND(#REF!,"AAAAAF5j74U=")</f>
        <v>#REF!</v>
      </c>
      <c r="EE48" t="e">
        <f>AND(#REF!,"AAAAAF5j74Y=")</f>
        <v>#REF!</v>
      </c>
      <c r="EF48" t="e">
        <f>AND(#REF!,"AAAAAF5j74c=")</f>
        <v>#REF!</v>
      </c>
      <c r="EG48" t="e">
        <f>AND(#REF!,"AAAAAF5j74g=")</f>
        <v>#REF!</v>
      </c>
      <c r="EH48" t="e">
        <f>IF(#REF!,"AAAAAF5j74k=",0)</f>
        <v>#REF!</v>
      </c>
      <c r="EI48" t="e">
        <f>AND(#REF!,"AAAAAF5j74o=")</f>
        <v>#REF!</v>
      </c>
      <c r="EJ48" t="e">
        <f>AND(#REF!,"AAAAAF5j74s=")</f>
        <v>#REF!</v>
      </c>
      <c r="EK48" t="e">
        <f>AND(#REF!,"AAAAAF5j74w=")</f>
        <v>#REF!</v>
      </c>
      <c r="EL48" t="e">
        <f>AND(#REF!,"AAAAAF5j740=")</f>
        <v>#REF!</v>
      </c>
      <c r="EM48" t="e">
        <f>AND(#REF!,"AAAAAF5j744=")</f>
        <v>#REF!</v>
      </c>
      <c r="EN48" t="e">
        <f>AND(#REF!,"AAAAAF5j748=")</f>
        <v>#REF!</v>
      </c>
      <c r="EO48" t="e">
        <f>AND(#REF!,"AAAAAF5j75A=")</f>
        <v>#REF!</v>
      </c>
      <c r="EP48" t="e">
        <f>AND(#REF!,"AAAAAF5j75E=")</f>
        <v>#REF!</v>
      </c>
      <c r="EQ48" t="e">
        <f>AND(#REF!,"AAAAAF5j75I=")</f>
        <v>#REF!</v>
      </c>
      <c r="ER48" t="e">
        <f>AND(#REF!,"AAAAAF5j75M=")</f>
        <v>#REF!</v>
      </c>
      <c r="ES48" t="e">
        <f>AND(#REF!,"AAAAAF5j75Q=")</f>
        <v>#REF!</v>
      </c>
      <c r="ET48" t="e">
        <f>AND(#REF!,"AAAAAF5j75U=")</f>
        <v>#REF!</v>
      </c>
      <c r="EU48" t="e">
        <f>AND(#REF!,"AAAAAF5j75Y=")</f>
        <v>#REF!</v>
      </c>
      <c r="EV48" t="e">
        <f>AND(#REF!,"AAAAAF5j75c=")</f>
        <v>#REF!</v>
      </c>
      <c r="EW48" t="e">
        <f>AND(#REF!,"AAAAAF5j75g=")</f>
        <v>#REF!</v>
      </c>
      <c r="EX48" t="e">
        <f>AND(#REF!,"AAAAAF5j75k=")</f>
        <v>#REF!</v>
      </c>
      <c r="EY48" t="e">
        <f>AND(#REF!,"AAAAAF5j75o=")</f>
        <v>#REF!</v>
      </c>
      <c r="EZ48" t="e">
        <f>AND(#REF!,"AAAAAF5j75s=")</f>
        <v>#REF!</v>
      </c>
      <c r="FA48" t="e">
        <f>AND(#REF!,"AAAAAF5j75w=")</f>
        <v>#REF!</v>
      </c>
      <c r="FB48" t="e">
        <f>AND(#REF!,"AAAAAF5j750=")</f>
        <v>#REF!</v>
      </c>
      <c r="FC48" t="e">
        <f>AND(#REF!,"AAAAAF5j754=")</f>
        <v>#REF!</v>
      </c>
      <c r="FD48" t="e">
        <f>AND(#REF!,"AAAAAF5j758=")</f>
        <v>#REF!</v>
      </c>
      <c r="FE48" t="e">
        <f>AND(#REF!,"AAAAAF5j76A=")</f>
        <v>#REF!</v>
      </c>
      <c r="FF48" t="e">
        <f>AND(#REF!,"AAAAAF5j76E=")</f>
        <v>#REF!</v>
      </c>
      <c r="FG48" t="e">
        <f>AND(#REF!,"AAAAAF5j76I=")</f>
        <v>#REF!</v>
      </c>
      <c r="FH48" t="e">
        <f>AND(#REF!,"AAAAAF5j76M=")</f>
        <v>#REF!</v>
      </c>
      <c r="FI48" t="e">
        <f>IF(#REF!,"AAAAAF5j76Q=",0)</f>
        <v>#REF!</v>
      </c>
      <c r="FJ48" t="e">
        <f>AND(#REF!,"AAAAAF5j76U=")</f>
        <v>#REF!</v>
      </c>
      <c r="FK48" t="e">
        <f>AND(#REF!,"AAAAAF5j76Y=")</f>
        <v>#REF!</v>
      </c>
      <c r="FL48" t="e">
        <f>AND(#REF!,"AAAAAF5j76c=")</f>
        <v>#REF!</v>
      </c>
      <c r="FM48" t="e">
        <f>AND(#REF!,"AAAAAF5j76g=")</f>
        <v>#REF!</v>
      </c>
      <c r="FN48" t="e">
        <f>AND(#REF!,"AAAAAF5j76k=")</f>
        <v>#REF!</v>
      </c>
      <c r="FO48" t="e">
        <f>AND(#REF!,"AAAAAF5j76o=")</f>
        <v>#REF!</v>
      </c>
      <c r="FP48" t="e">
        <f>AND(#REF!,"AAAAAF5j76s=")</f>
        <v>#REF!</v>
      </c>
      <c r="FQ48" t="e">
        <f>AND(#REF!,"AAAAAF5j76w=")</f>
        <v>#REF!</v>
      </c>
      <c r="FR48" t="e">
        <f>AND(#REF!,"AAAAAF5j760=")</f>
        <v>#REF!</v>
      </c>
      <c r="FS48" t="e">
        <f>AND(#REF!,"AAAAAF5j764=")</f>
        <v>#REF!</v>
      </c>
      <c r="FT48" t="e">
        <f>AND(#REF!,"AAAAAF5j768=")</f>
        <v>#REF!</v>
      </c>
      <c r="FU48" t="e">
        <f>AND(#REF!,"AAAAAF5j77A=")</f>
        <v>#REF!</v>
      </c>
      <c r="FV48" t="e">
        <f>AND(#REF!,"AAAAAF5j77E=")</f>
        <v>#REF!</v>
      </c>
      <c r="FW48" t="e">
        <f>AND(#REF!,"AAAAAF5j77I=")</f>
        <v>#REF!</v>
      </c>
      <c r="FX48" t="e">
        <f>AND(#REF!,"AAAAAF5j77M=")</f>
        <v>#REF!</v>
      </c>
      <c r="FY48" t="e">
        <f>AND(#REF!,"AAAAAF5j77Q=")</f>
        <v>#REF!</v>
      </c>
      <c r="FZ48" t="e">
        <f>AND(#REF!,"AAAAAF5j77U=")</f>
        <v>#REF!</v>
      </c>
      <c r="GA48" t="e">
        <f>AND(#REF!,"AAAAAF5j77Y=")</f>
        <v>#REF!</v>
      </c>
      <c r="GB48" t="e">
        <f>AND(#REF!,"AAAAAF5j77c=")</f>
        <v>#REF!</v>
      </c>
      <c r="GC48" t="e">
        <f>AND(#REF!,"AAAAAF5j77g=")</f>
        <v>#REF!</v>
      </c>
      <c r="GD48" t="e">
        <f>AND(#REF!,"AAAAAF5j77k=")</f>
        <v>#REF!</v>
      </c>
      <c r="GE48" t="e">
        <f>AND(#REF!,"AAAAAF5j77o=")</f>
        <v>#REF!</v>
      </c>
      <c r="GF48" t="e">
        <f>AND(#REF!,"AAAAAF5j77s=")</f>
        <v>#REF!</v>
      </c>
      <c r="GG48" t="e">
        <f>AND(#REF!,"AAAAAF5j77w=")</f>
        <v>#REF!</v>
      </c>
      <c r="GH48" t="e">
        <f>AND(#REF!,"AAAAAF5j770=")</f>
        <v>#REF!</v>
      </c>
      <c r="GI48" t="e">
        <f>AND(#REF!,"AAAAAF5j774=")</f>
        <v>#REF!</v>
      </c>
      <c r="GJ48" t="e">
        <f>IF(#REF!,"AAAAAF5j778=",0)</f>
        <v>#REF!</v>
      </c>
      <c r="GK48" t="e">
        <f>AND(#REF!,"AAAAAF5j78A=")</f>
        <v>#REF!</v>
      </c>
      <c r="GL48" t="e">
        <f>AND(#REF!,"AAAAAF5j78E=")</f>
        <v>#REF!</v>
      </c>
      <c r="GM48" t="e">
        <f>AND(#REF!,"AAAAAF5j78I=")</f>
        <v>#REF!</v>
      </c>
      <c r="GN48" t="e">
        <f>AND(#REF!,"AAAAAF5j78M=")</f>
        <v>#REF!</v>
      </c>
      <c r="GO48" t="e">
        <f>AND(#REF!,"AAAAAF5j78Q=")</f>
        <v>#REF!</v>
      </c>
      <c r="GP48" t="e">
        <f>AND(#REF!,"AAAAAF5j78U=")</f>
        <v>#REF!</v>
      </c>
      <c r="GQ48" t="e">
        <f>AND(#REF!,"AAAAAF5j78Y=")</f>
        <v>#REF!</v>
      </c>
      <c r="GR48" t="e">
        <f>AND(#REF!,"AAAAAF5j78c=")</f>
        <v>#REF!</v>
      </c>
      <c r="GS48" t="e">
        <f>AND(#REF!,"AAAAAF5j78g=")</f>
        <v>#REF!</v>
      </c>
      <c r="GT48" t="e">
        <f>AND(#REF!,"AAAAAF5j78k=")</f>
        <v>#REF!</v>
      </c>
      <c r="GU48" t="e">
        <f>AND(#REF!,"AAAAAF5j78o=")</f>
        <v>#REF!</v>
      </c>
      <c r="GV48" t="e">
        <f>AND(#REF!,"AAAAAF5j78s=")</f>
        <v>#REF!</v>
      </c>
      <c r="GW48" t="e">
        <f>AND(#REF!,"AAAAAF5j78w=")</f>
        <v>#REF!</v>
      </c>
      <c r="GX48" t="e">
        <f>AND(#REF!,"AAAAAF5j780=")</f>
        <v>#REF!</v>
      </c>
      <c r="GY48" t="e">
        <f>AND(#REF!,"AAAAAF5j784=")</f>
        <v>#REF!</v>
      </c>
      <c r="GZ48" t="e">
        <f>AND(#REF!,"AAAAAF5j788=")</f>
        <v>#REF!</v>
      </c>
      <c r="HA48" t="e">
        <f>AND(#REF!,"AAAAAF5j79A=")</f>
        <v>#REF!</v>
      </c>
      <c r="HB48" t="e">
        <f>AND(#REF!,"AAAAAF5j79E=")</f>
        <v>#REF!</v>
      </c>
      <c r="HC48" t="e">
        <f>AND(#REF!,"AAAAAF5j79I=")</f>
        <v>#REF!</v>
      </c>
      <c r="HD48" t="e">
        <f>AND(#REF!,"AAAAAF5j79M=")</f>
        <v>#REF!</v>
      </c>
      <c r="HE48" t="e">
        <f>AND(#REF!,"AAAAAF5j79Q=")</f>
        <v>#REF!</v>
      </c>
      <c r="HF48" t="e">
        <f>AND(#REF!,"AAAAAF5j79U=")</f>
        <v>#REF!</v>
      </c>
      <c r="HG48" t="e">
        <f>AND(#REF!,"AAAAAF5j79Y=")</f>
        <v>#REF!</v>
      </c>
      <c r="HH48" t="e">
        <f>AND(#REF!,"AAAAAF5j79c=")</f>
        <v>#REF!</v>
      </c>
      <c r="HI48" t="e">
        <f>AND(#REF!,"AAAAAF5j79g=")</f>
        <v>#REF!</v>
      </c>
      <c r="HJ48" t="e">
        <f>AND(#REF!,"AAAAAF5j79k=")</f>
        <v>#REF!</v>
      </c>
      <c r="HK48" t="e">
        <f>IF(#REF!,"AAAAAF5j79o=",0)</f>
        <v>#REF!</v>
      </c>
      <c r="HL48" t="e">
        <f>AND(#REF!,"AAAAAF5j79s=")</f>
        <v>#REF!</v>
      </c>
      <c r="HM48" t="e">
        <f>AND(#REF!,"AAAAAF5j79w=")</f>
        <v>#REF!</v>
      </c>
      <c r="HN48" t="e">
        <f>AND(#REF!,"AAAAAF5j790=")</f>
        <v>#REF!</v>
      </c>
      <c r="HO48" t="e">
        <f>AND(#REF!,"AAAAAF5j794=")</f>
        <v>#REF!</v>
      </c>
      <c r="HP48" t="e">
        <f>AND(#REF!,"AAAAAF5j798=")</f>
        <v>#REF!</v>
      </c>
      <c r="HQ48" t="e">
        <f>AND(#REF!,"AAAAAF5j7+A=")</f>
        <v>#REF!</v>
      </c>
      <c r="HR48" t="e">
        <f>AND(#REF!,"AAAAAF5j7+E=")</f>
        <v>#REF!</v>
      </c>
      <c r="HS48" t="e">
        <f>AND(#REF!,"AAAAAF5j7+I=")</f>
        <v>#REF!</v>
      </c>
      <c r="HT48" t="e">
        <f>AND(#REF!,"AAAAAF5j7+M=")</f>
        <v>#REF!</v>
      </c>
      <c r="HU48" t="e">
        <f>AND(#REF!,"AAAAAF5j7+Q=")</f>
        <v>#REF!</v>
      </c>
      <c r="HV48" t="e">
        <f>AND(#REF!,"AAAAAF5j7+U=")</f>
        <v>#REF!</v>
      </c>
      <c r="HW48" t="e">
        <f>AND(#REF!,"AAAAAF5j7+Y=")</f>
        <v>#REF!</v>
      </c>
      <c r="HX48" t="e">
        <f>AND(#REF!,"AAAAAF5j7+c=")</f>
        <v>#REF!</v>
      </c>
      <c r="HY48" t="e">
        <f>AND(#REF!,"AAAAAF5j7+g=")</f>
        <v>#REF!</v>
      </c>
      <c r="HZ48" t="e">
        <f>AND(#REF!,"AAAAAF5j7+k=")</f>
        <v>#REF!</v>
      </c>
      <c r="IA48" t="e">
        <f>AND(#REF!,"AAAAAF5j7+o=")</f>
        <v>#REF!</v>
      </c>
      <c r="IB48" t="e">
        <f>AND(#REF!,"AAAAAF5j7+s=")</f>
        <v>#REF!</v>
      </c>
      <c r="IC48" t="e">
        <f>AND(#REF!,"AAAAAF5j7+w=")</f>
        <v>#REF!</v>
      </c>
      <c r="ID48" t="e">
        <f>AND(#REF!,"AAAAAF5j7+0=")</f>
        <v>#REF!</v>
      </c>
      <c r="IE48" t="e">
        <f>AND(#REF!,"AAAAAF5j7+4=")</f>
        <v>#REF!</v>
      </c>
      <c r="IF48" t="e">
        <f>AND(#REF!,"AAAAAF5j7+8=")</f>
        <v>#REF!</v>
      </c>
      <c r="IG48" t="e">
        <f>AND(#REF!,"AAAAAF5j7/A=")</f>
        <v>#REF!</v>
      </c>
      <c r="IH48" t="e">
        <f>AND(#REF!,"AAAAAF5j7/E=")</f>
        <v>#REF!</v>
      </c>
      <c r="II48" t="e">
        <f>AND(#REF!,"AAAAAF5j7/I=")</f>
        <v>#REF!</v>
      </c>
      <c r="IJ48" t="e">
        <f>AND(#REF!,"AAAAAF5j7/M=")</f>
        <v>#REF!</v>
      </c>
      <c r="IK48" t="e">
        <f>AND(#REF!,"AAAAAF5j7/Q=")</f>
        <v>#REF!</v>
      </c>
      <c r="IL48" t="e">
        <f>IF(#REF!,"AAAAAF5j7/U=",0)</f>
        <v>#REF!</v>
      </c>
      <c r="IM48" t="e">
        <f>AND(#REF!,"AAAAAF5j7/Y=")</f>
        <v>#REF!</v>
      </c>
      <c r="IN48" t="e">
        <f>AND(#REF!,"AAAAAF5j7/c=")</f>
        <v>#REF!</v>
      </c>
      <c r="IO48" t="e">
        <f>AND(#REF!,"AAAAAF5j7/g=")</f>
        <v>#REF!</v>
      </c>
      <c r="IP48" t="e">
        <f>AND(#REF!,"AAAAAF5j7/k=")</f>
        <v>#REF!</v>
      </c>
      <c r="IQ48" t="e">
        <f>AND(#REF!,"AAAAAF5j7/o=")</f>
        <v>#REF!</v>
      </c>
      <c r="IR48" t="e">
        <f>AND(#REF!,"AAAAAF5j7/s=")</f>
        <v>#REF!</v>
      </c>
      <c r="IS48" t="e">
        <f>AND(#REF!,"AAAAAF5j7/w=")</f>
        <v>#REF!</v>
      </c>
      <c r="IT48" t="e">
        <f>AND(#REF!,"AAAAAF5j7/0=")</f>
        <v>#REF!</v>
      </c>
      <c r="IU48" t="e">
        <f>AND(#REF!,"AAAAAF5j7/4=")</f>
        <v>#REF!</v>
      </c>
      <c r="IV48" t="e">
        <f>AND(#REF!,"AAAAAF5j7/8=")</f>
        <v>#REF!</v>
      </c>
    </row>
    <row r="49" spans="1:256" x14ac:dyDescent="0.2">
      <c r="A49" t="e">
        <f>AND(#REF!,"AAAAACv//wA=")</f>
        <v>#REF!</v>
      </c>
      <c r="B49" t="e">
        <f>AND(#REF!,"AAAAACv//wE=")</f>
        <v>#REF!</v>
      </c>
      <c r="C49" t="e">
        <f>AND(#REF!,"AAAAACv//wI=")</f>
        <v>#REF!</v>
      </c>
      <c r="D49" t="e">
        <f>AND(#REF!,"AAAAACv//wM=")</f>
        <v>#REF!</v>
      </c>
      <c r="E49" t="e">
        <f>AND(#REF!,"AAAAACv//wQ=")</f>
        <v>#REF!</v>
      </c>
      <c r="F49" t="e">
        <f>AND(#REF!,"AAAAACv//wU=")</f>
        <v>#REF!</v>
      </c>
      <c r="G49" t="e">
        <f>AND(#REF!,"AAAAACv//wY=")</f>
        <v>#REF!</v>
      </c>
      <c r="H49" t="e">
        <f>AND(#REF!,"AAAAACv//wc=")</f>
        <v>#REF!</v>
      </c>
      <c r="I49" t="e">
        <f>AND(#REF!,"AAAAACv//wg=")</f>
        <v>#REF!</v>
      </c>
      <c r="J49" t="e">
        <f>AND(#REF!,"AAAAACv//wk=")</f>
        <v>#REF!</v>
      </c>
      <c r="K49" t="e">
        <f>AND(#REF!,"AAAAACv//wo=")</f>
        <v>#REF!</v>
      </c>
      <c r="L49" t="e">
        <f>AND(#REF!,"AAAAACv//ws=")</f>
        <v>#REF!</v>
      </c>
      <c r="M49" t="e">
        <f>AND(#REF!,"AAAAACv//ww=")</f>
        <v>#REF!</v>
      </c>
      <c r="N49" t="e">
        <f>AND(#REF!,"AAAAACv//w0=")</f>
        <v>#REF!</v>
      </c>
      <c r="O49" t="e">
        <f>AND(#REF!,"AAAAACv//w4=")</f>
        <v>#REF!</v>
      </c>
      <c r="P49" t="e">
        <f>AND(#REF!,"AAAAACv//w8=")</f>
        <v>#REF!</v>
      </c>
      <c r="Q49" t="e">
        <f>IF(#REF!,"AAAAACv//xA=",0)</f>
        <v>#REF!</v>
      </c>
      <c r="R49" t="e">
        <f>AND(#REF!,"AAAAACv//xE=")</f>
        <v>#REF!</v>
      </c>
      <c r="S49" t="e">
        <f>AND(#REF!,"AAAAACv//xI=")</f>
        <v>#REF!</v>
      </c>
      <c r="T49" t="e">
        <f>AND(#REF!,"AAAAACv//xM=")</f>
        <v>#REF!</v>
      </c>
      <c r="U49" t="e">
        <f>AND(#REF!,"AAAAACv//xQ=")</f>
        <v>#REF!</v>
      </c>
      <c r="V49" t="e">
        <f>AND(#REF!,"AAAAACv//xU=")</f>
        <v>#REF!</v>
      </c>
      <c r="W49" t="e">
        <f>AND(#REF!,"AAAAACv//xY=")</f>
        <v>#REF!</v>
      </c>
      <c r="X49" t="e">
        <f>AND(#REF!,"AAAAACv//xc=")</f>
        <v>#REF!</v>
      </c>
      <c r="Y49" t="e">
        <f>AND(#REF!,"AAAAACv//xg=")</f>
        <v>#REF!</v>
      </c>
      <c r="Z49" t="e">
        <f>AND(#REF!,"AAAAACv//xk=")</f>
        <v>#REF!</v>
      </c>
      <c r="AA49" t="e">
        <f>AND(#REF!,"AAAAACv//xo=")</f>
        <v>#REF!</v>
      </c>
      <c r="AB49" t="e">
        <f>AND(#REF!,"AAAAACv//xs=")</f>
        <v>#REF!</v>
      </c>
      <c r="AC49" t="e">
        <f>AND(#REF!,"AAAAACv//xw=")</f>
        <v>#REF!</v>
      </c>
      <c r="AD49" t="e">
        <f>AND(#REF!,"AAAAACv//x0=")</f>
        <v>#REF!</v>
      </c>
      <c r="AE49" t="e">
        <f>AND(#REF!,"AAAAACv//x4=")</f>
        <v>#REF!</v>
      </c>
      <c r="AF49" t="e">
        <f>AND(#REF!,"AAAAACv//x8=")</f>
        <v>#REF!</v>
      </c>
      <c r="AG49" t="e">
        <f>AND(#REF!,"AAAAACv//yA=")</f>
        <v>#REF!</v>
      </c>
      <c r="AH49" t="e">
        <f>AND(#REF!,"AAAAACv//yE=")</f>
        <v>#REF!</v>
      </c>
      <c r="AI49" t="e">
        <f>AND(#REF!,"AAAAACv//yI=")</f>
        <v>#REF!</v>
      </c>
      <c r="AJ49" t="e">
        <f>AND(#REF!,"AAAAACv//yM=")</f>
        <v>#REF!</v>
      </c>
      <c r="AK49" t="e">
        <f>AND(#REF!,"AAAAACv//yQ=")</f>
        <v>#REF!</v>
      </c>
      <c r="AL49" t="e">
        <f>AND(#REF!,"AAAAACv//yU=")</f>
        <v>#REF!</v>
      </c>
      <c r="AM49" t="e">
        <f>AND(#REF!,"AAAAACv//yY=")</f>
        <v>#REF!</v>
      </c>
      <c r="AN49" t="e">
        <f>AND(#REF!,"AAAAACv//yc=")</f>
        <v>#REF!</v>
      </c>
      <c r="AO49" t="e">
        <f>AND(#REF!,"AAAAACv//yg=")</f>
        <v>#REF!</v>
      </c>
      <c r="AP49" t="e">
        <f>AND(#REF!,"AAAAACv//yk=")</f>
        <v>#REF!</v>
      </c>
      <c r="AQ49" t="e">
        <f>AND(#REF!,"AAAAACv//yo=")</f>
        <v>#REF!</v>
      </c>
      <c r="AR49" t="e">
        <f>IF(#REF!,"AAAAACv//ys=",0)</f>
        <v>#REF!</v>
      </c>
      <c r="AS49" t="e">
        <f>AND(#REF!,"AAAAACv//yw=")</f>
        <v>#REF!</v>
      </c>
      <c r="AT49" t="e">
        <f>AND(#REF!,"AAAAACv//y0=")</f>
        <v>#REF!</v>
      </c>
      <c r="AU49" t="e">
        <f>AND(#REF!,"AAAAACv//y4=")</f>
        <v>#REF!</v>
      </c>
      <c r="AV49" t="e">
        <f>AND(#REF!,"AAAAACv//y8=")</f>
        <v>#REF!</v>
      </c>
      <c r="AW49" t="e">
        <f>AND(#REF!,"AAAAACv//zA=")</f>
        <v>#REF!</v>
      </c>
      <c r="AX49" t="e">
        <f>AND(#REF!,"AAAAACv//zE=")</f>
        <v>#REF!</v>
      </c>
      <c r="AY49" t="e">
        <f>AND(#REF!,"AAAAACv//zI=")</f>
        <v>#REF!</v>
      </c>
      <c r="AZ49" t="e">
        <f>AND(#REF!,"AAAAACv//zM=")</f>
        <v>#REF!</v>
      </c>
      <c r="BA49" t="e">
        <f>AND(#REF!,"AAAAACv//zQ=")</f>
        <v>#REF!</v>
      </c>
      <c r="BB49" t="e">
        <f>AND(#REF!,"AAAAACv//zU=")</f>
        <v>#REF!</v>
      </c>
      <c r="BC49" t="e">
        <f>AND(#REF!,"AAAAACv//zY=")</f>
        <v>#REF!</v>
      </c>
      <c r="BD49" t="e">
        <f>AND(#REF!,"AAAAACv//zc=")</f>
        <v>#REF!</v>
      </c>
      <c r="BE49" t="e">
        <f>AND(#REF!,"AAAAACv//zg=")</f>
        <v>#REF!</v>
      </c>
      <c r="BF49" t="e">
        <f>AND(#REF!,"AAAAACv//zk=")</f>
        <v>#REF!</v>
      </c>
      <c r="BG49" t="e">
        <f>AND(#REF!,"AAAAACv//zo=")</f>
        <v>#REF!</v>
      </c>
      <c r="BH49" t="e">
        <f>AND(#REF!,"AAAAACv//zs=")</f>
        <v>#REF!</v>
      </c>
      <c r="BI49" t="e">
        <f>AND(#REF!,"AAAAACv//zw=")</f>
        <v>#REF!</v>
      </c>
      <c r="BJ49" t="e">
        <f>AND(#REF!,"AAAAACv//z0=")</f>
        <v>#REF!</v>
      </c>
      <c r="BK49" t="e">
        <f>AND(#REF!,"AAAAACv//z4=")</f>
        <v>#REF!</v>
      </c>
      <c r="BL49" t="e">
        <f>AND(#REF!,"AAAAACv//z8=")</f>
        <v>#REF!</v>
      </c>
      <c r="BM49" t="e">
        <f>AND(#REF!,"AAAAACv//0A=")</f>
        <v>#REF!</v>
      </c>
      <c r="BN49" t="e">
        <f>AND(#REF!,"AAAAACv//0E=")</f>
        <v>#REF!</v>
      </c>
      <c r="BO49" t="e">
        <f>AND(#REF!,"AAAAACv//0I=")</f>
        <v>#REF!</v>
      </c>
      <c r="BP49" t="e">
        <f>AND(#REF!,"AAAAACv//0M=")</f>
        <v>#REF!</v>
      </c>
      <c r="BQ49" t="e">
        <f>AND(#REF!,"AAAAACv//0Q=")</f>
        <v>#REF!</v>
      </c>
      <c r="BR49" t="e">
        <f>AND(#REF!,"AAAAACv//0U=")</f>
        <v>#REF!</v>
      </c>
      <c r="BS49" t="e">
        <f>IF(#REF!,"AAAAACv//0Y=",0)</f>
        <v>#REF!</v>
      </c>
      <c r="BT49" t="e">
        <f>AND(#REF!,"AAAAACv//0c=")</f>
        <v>#REF!</v>
      </c>
      <c r="BU49" t="e">
        <f>AND(#REF!,"AAAAACv//0g=")</f>
        <v>#REF!</v>
      </c>
      <c r="BV49" t="e">
        <f>AND(#REF!,"AAAAACv//0k=")</f>
        <v>#REF!</v>
      </c>
      <c r="BW49" t="e">
        <f>AND(#REF!,"AAAAACv//0o=")</f>
        <v>#REF!</v>
      </c>
      <c r="BX49" t="e">
        <f>AND(#REF!,"AAAAACv//0s=")</f>
        <v>#REF!</v>
      </c>
      <c r="BY49" t="e">
        <f>AND(#REF!,"AAAAACv//0w=")</f>
        <v>#REF!</v>
      </c>
      <c r="BZ49" t="e">
        <f>AND(#REF!,"AAAAACv//00=")</f>
        <v>#REF!</v>
      </c>
      <c r="CA49" t="e">
        <f>AND(#REF!,"AAAAACv//04=")</f>
        <v>#REF!</v>
      </c>
      <c r="CB49" t="e">
        <f>AND(#REF!,"AAAAACv//08=")</f>
        <v>#REF!</v>
      </c>
      <c r="CC49" t="e">
        <f>AND(#REF!,"AAAAACv//1A=")</f>
        <v>#REF!</v>
      </c>
      <c r="CD49" t="e">
        <f>AND(#REF!,"AAAAACv//1E=")</f>
        <v>#REF!</v>
      </c>
      <c r="CE49" t="e">
        <f>AND(#REF!,"AAAAACv//1I=")</f>
        <v>#REF!</v>
      </c>
      <c r="CF49" t="e">
        <f>AND(#REF!,"AAAAACv//1M=")</f>
        <v>#REF!</v>
      </c>
      <c r="CG49" t="e">
        <f>AND(#REF!,"AAAAACv//1Q=")</f>
        <v>#REF!</v>
      </c>
      <c r="CH49" t="e">
        <f>AND(#REF!,"AAAAACv//1U=")</f>
        <v>#REF!</v>
      </c>
      <c r="CI49" t="e">
        <f>AND(#REF!,"AAAAACv//1Y=")</f>
        <v>#REF!</v>
      </c>
      <c r="CJ49" t="e">
        <f>AND(#REF!,"AAAAACv//1c=")</f>
        <v>#REF!</v>
      </c>
      <c r="CK49" t="e">
        <f>AND(#REF!,"AAAAACv//1g=")</f>
        <v>#REF!</v>
      </c>
      <c r="CL49" t="e">
        <f>AND(#REF!,"AAAAACv//1k=")</f>
        <v>#REF!</v>
      </c>
      <c r="CM49" t="e">
        <f>AND(#REF!,"AAAAACv//1o=")</f>
        <v>#REF!</v>
      </c>
      <c r="CN49" t="e">
        <f>AND(#REF!,"AAAAACv//1s=")</f>
        <v>#REF!</v>
      </c>
      <c r="CO49" t="e">
        <f>AND(#REF!,"AAAAACv//1w=")</f>
        <v>#REF!</v>
      </c>
      <c r="CP49" t="e">
        <f>AND(#REF!,"AAAAACv//10=")</f>
        <v>#REF!</v>
      </c>
      <c r="CQ49" t="e">
        <f>AND(#REF!,"AAAAACv//14=")</f>
        <v>#REF!</v>
      </c>
      <c r="CR49" t="e">
        <f>AND(#REF!,"AAAAACv//18=")</f>
        <v>#REF!</v>
      </c>
      <c r="CS49" t="e">
        <f>AND(#REF!,"AAAAACv//2A=")</f>
        <v>#REF!</v>
      </c>
      <c r="CT49" t="e">
        <f>IF(#REF!,"AAAAACv//2E=",0)</f>
        <v>#REF!</v>
      </c>
      <c r="CU49" t="e">
        <f>AND(#REF!,"AAAAACv//2I=")</f>
        <v>#REF!</v>
      </c>
      <c r="CV49" t="e">
        <f>AND(#REF!,"AAAAACv//2M=")</f>
        <v>#REF!</v>
      </c>
      <c r="CW49" t="e">
        <f>AND(#REF!,"AAAAACv//2Q=")</f>
        <v>#REF!</v>
      </c>
      <c r="CX49" t="e">
        <f>AND(#REF!,"AAAAACv//2U=")</f>
        <v>#REF!</v>
      </c>
      <c r="CY49" t="e">
        <f>AND(#REF!,"AAAAACv//2Y=")</f>
        <v>#REF!</v>
      </c>
      <c r="CZ49" t="e">
        <f>AND(#REF!,"AAAAACv//2c=")</f>
        <v>#REF!</v>
      </c>
      <c r="DA49" t="e">
        <f>AND(#REF!,"AAAAACv//2g=")</f>
        <v>#REF!</v>
      </c>
      <c r="DB49" t="e">
        <f>AND(#REF!,"AAAAACv//2k=")</f>
        <v>#REF!</v>
      </c>
      <c r="DC49" t="e">
        <f>AND(#REF!,"AAAAACv//2o=")</f>
        <v>#REF!</v>
      </c>
      <c r="DD49" t="e">
        <f>AND(#REF!,"AAAAACv//2s=")</f>
        <v>#REF!</v>
      </c>
      <c r="DE49" t="e">
        <f>AND(#REF!,"AAAAACv//2w=")</f>
        <v>#REF!</v>
      </c>
      <c r="DF49" t="e">
        <f>AND(#REF!,"AAAAACv//20=")</f>
        <v>#REF!</v>
      </c>
      <c r="DG49" t="e">
        <f>AND(#REF!,"AAAAACv//24=")</f>
        <v>#REF!</v>
      </c>
      <c r="DH49" t="e">
        <f>AND(#REF!,"AAAAACv//28=")</f>
        <v>#REF!</v>
      </c>
      <c r="DI49" t="e">
        <f>AND(#REF!,"AAAAACv//3A=")</f>
        <v>#REF!</v>
      </c>
      <c r="DJ49" t="e">
        <f>AND(#REF!,"AAAAACv//3E=")</f>
        <v>#REF!</v>
      </c>
      <c r="DK49" t="e">
        <f>AND(#REF!,"AAAAACv//3I=")</f>
        <v>#REF!</v>
      </c>
      <c r="DL49" t="e">
        <f>AND(#REF!,"AAAAACv//3M=")</f>
        <v>#REF!</v>
      </c>
      <c r="DM49" t="e">
        <f>AND(#REF!,"AAAAACv//3Q=")</f>
        <v>#REF!</v>
      </c>
      <c r="DN49" t="e">
        <f>AND(#REF!,"AAAAACv//3U=")</f>
        <v>#REF!</v>
      </c>
      <c r="DO49" t="e">
        <f>AND(#REF!,"AAAAACv//3Y=")</f>
        <v>#REF!</v>
      </c>
      <c r="DP49" t="e">
        <f>AND(#REF!,"AAAAACv//3c=")</f>
        <v>#REF!</v>
      </c>
      <c r="DQ49" t="e">
        <f>AND(#REF!,"AAAAACv//3g=")</f>
        <v>#REF!</v>
      </c>
      <c r="DR49" t="e">
        <f>AND(#REF!,"AAAAACv//3k=")</f>
        <v>#REF!</v>
      </c>
      <c r="DS49" t="e">
        <f>AND(#REF!,"AAAAACv//3o=")</f>
        <v>#REF!</v>
      </c>
      <c r="DT49" t="e">
        <f>AND(#REF!,"AAAAACv//3s=")</f>
        <v>#REF!</v>
      </c>
      <c r="DU49" t="e">
        <f>IF(#REF!,"AAAAACv//3w=",0)</f>
        <v>#REF!</v>
      </c>
      <c r="DV49" t="e">
        <f>AND(#REF!,"AAAAACv//30=")</f>
        <v>#REF!</v>
      </c>
      <c r="DW49" t="e">
        <f>AND(#REF!,"AAAAACv//34=")</f>
        <v>#REF!</v>
      </c>
      <c r="DX49" t="e">
        <f>AND(#REF!,"AAAAACv//38=")</f>
        <v>#REF!</v>
      </c>
      <c r="DY49" t="e">
        <f>AND(#REF!,"AAAAACv//4A=")</f>
        <v>#REF!</v>
      </c>
      <c r="DZ49" t="e">
        <f>AND(#REF!,"AAAAACv//4E=")</f>
        <v>#REF!</v>
      </c>
      <c r="EA49" t="e">
        <f>AND(#REF!,"AAAAACv//4I=")</f>
        <v>#REF!</v>
      </c>
      <c r="EB49" t="e">
        <f>AND(#REF!,"AAAAACv//4M=")</f>
        <v>#REF!</v>
      </c>
      <c r="EC49" t="e">
        <f>AND(#REF!,"AAAAACv//4Q=")</f>
        <v>#REF!</v>
      </c>
      <c r="ED49" t="e">
        <f>AND(#REF!,"AAAAACv//4U=")</f>
        <v>#REF!</v>
      </c>
      <c r="EE49" t="e">
        <f>AND(#REF!,"AAAAACv//4Y=")</f>
        <v>#REF!</v>
      </c>
      <c r="EF49" t="e">
        <f>AND(#REF!,"AAAAACv//4c=")</f>
        <v>#REF!</v>
      </c>
      <c r="EG49" t="e">
        <f>AND(#REF!,"AAAAACv//4g=")</f>
        <v>#REF!</v>
      </c>
      <c r="EH49" t="e">
        <f>AND(#REF!,"AAAAACv//4k=")</f>
        <v>#REF!</v>
      </c>
      <c r="EI49" t="e">
        <f>AND(#REF!,"AAAAACv//4o=")</f>
        <v>#REF!</v>
      </c>
      <c r="EJ49" t="e">
        <f>AND(#REF!,"AAAAACv//4s=")</f>
        <v>#REF!</v>
      </c>
      <c r="EK49" t="e">
        <f>AND(#REF!,"AAAAACv//4w=")</f>
        <v>#REF!</v>
      </c>
      <c r="EL49" t="e">
        <f>AND(#REF!,"AAAAACv//40=")</f>
        <v>#REF!</v>
      </c>
      <c r="EM49" t="e">
        <f>AND(#REF!,"AAAAACv//44=")</f>
        <v>#REF!</v>
      </c>
      <c r="EN49" t="e">
        <f>AND(#REF!,"AAAAACv//48=")</f>
        <v>#REF!</v>
      </c>
      <c r="EO49" t="e">
        <f>AND(#REF!,"AAAAACv//5A=")</f>
        <v>#REF!</v>
      </c>
      <c r="EP49" t="e">
        <f>AND(#REF!,"AAAAACv//5E=")</f>
        <v>#REF!</v>
      </c>
      <c r="EQ49" t="e">
        <f>AND(#REF!,"AAAAACv//5I=")</f>
        <v>#REF!</v>
      </c>
      <c r="ER49" t="e">
        <f>AND(#REF!,"AAAAACv//5M=")</f>
        <v>#REF!</v>
      </c>
      <c r="ES49" t="e">
        <f>AND(#REF!,"AAAAACv//5Q=")</f>
        <v>#REF!</v>
      </c>
      <c r="ET49" t="e">
        <f>AND(#REF!,"AAAAACv//5U=")</f>
        <v>#REF!</v>
      </c>
      <c r="EU49" t="e">
        <f>AND(#REF!,"AAAAACv//5Y=")</f>
        <v>#REF!</v>
      </c>
      <c r="EV49" t="e">
        <f>IF(#REF!,"AAAAACv//5c=",0)</f>
        <v>#REF!</v>
      </c>
      <c r="EW49" t="e">
        <f>AND(#REF!,"AAAAACv//5g=")</f>
        <v>#REF!</v>
      </c>
      <c r="EX49" t="e">
        <f>AND(#REF!,"AAAAACv//5k=")</f>
        <v>#REF!</v>
      </c>
      <c r="EY49" t="e">
        <f>AND(#REF!,"AAAAACv//5o=")</f>
        <v>#REF!</v>
      </c>
      <c r="EZ49" t="e">
        <f>AND(#REF!,"AAAAACv//5s=")</f>
        <v>#REF!</v>
      </c>
      <c r="FA49" t="e">
        <f>AND(#REF!,"AAAAACv//5w=")</f>
        <v>#REF!</v>
      </c>
      <c r="FB49" t="e">
        <f>AND(#REF!,"AAAAACv//50=")</f>
        <v>#REF!</v>
      </c>
      <c r="FC49" t="e">
        <f>AND(#REF!,"AAAAACv//54=")</f>
        <v>#REF!</v>
      </c>
      <c r="FD49" t="e">
        <f>AND(#REF!,"AAAAACv//58=")</f>
        <v>#REF!</v>
      </c>
      <c r="FE49" t="e">
        <f>AND(#REF!,"AAAAACv//6A=")</f>
        <v>#REF!</v>
      </c>
      <c r="FF49" t="e">
        <f>AND(#REF!,"AAAAACv//6E=")</f>
        <v>#REF!</v>
      </c>
      <c r="FG49" t="e">
        <f>AND(#REF!,"AAAAACv//6I=")</f>
        <v>#REF!</v>
      </c>
      <c r="FH49" t="e">
        <f>AND(#REF!,"AAAAACv//6M=")</f>
        <v>#REF!</v>
      </c>
      <c r="FI49" t="e">
        <f>AND(#REF!,"AAAAACv//6Q=")</f>
        <v>#REF!</v>
      </c>
      <c r="FJ49" t="e">
        <f>AND(#REF!,"AAAAACv//6U=")</f>
        <v>#REF!</v>
      </c>
      <c r="FK49" t="e">
        <f>AND(#REF!,"AAAAACv//6Y=")</f>
        <v>#REF!</v>
      </c>
      <c r="FL49" t="e">
        <f>AND(#REF!,"AAAAACv//6c=")</f>
        <v>#REF!</v>
      </c>
      <c r="FM49" t="e">
        <f>AND(#REF!,"AAAAACv//6g=")</f>
        <v>#REF!</v>
      </c>
      <c r="FN49" t="e">
        <f>AND(#REF!,"AAAAACv//6k=")</f>
        <v>#REF!</v>
      </c>
      <c r="FO49" t="e">
        <f>AND(#REF!,"AAAAACv//6o=")</f>
        <v>#REF!</v>
      </c>
      <c r="FP49" t="e">
        <f>AND(#REF!,"AAAAACv//6s=")</f>
        <v>#REF!</v>
      </c>
      <c r="FQ49" t="e">
        <f>AND(#REF!,"AAAAACv//6w=")</f>
        <v>#REF!</v>
      </c>
      <c r="FR49" t="e">
        <f>AND(#REF!,"AAAAACv//60=")</f>
        <v>#REF!</v>
      </c>
      <c r="FS49" t="e">
        <f>AND(#REF!,"AAAAACv//64=")</f>
        <v>#REF!</v>
      </c>
      <c r="FT49" t="e">
        <f>AND(#REF!,"AAAAACv//68=")</f>
        <v>#REF!</v>
      </c>
      <c r="FU49" t="e">
        <f>AND(#REF!,"AAAAACv//7A=")</f>
        <v>#REF!</v>
      </c>
      <c r="FV49" t="e">
        <f>AND(#REF!,"AAAAACv//7E=")</f>
        <v>#REF!</v>
      </c>
      <c r="FW49" t="e">
        <f>IF(#REF!,"AAAAACv//7I=",0)</f>
        <v>#REF!</v>
      </c>
      <c r="FX49" t="e">
        <f>AND(#REF!,"AAAAACv//7M=")</f>
        <v>#REF!</v>
      </c>
      <c r="FY49" t="e">
        <f>AND(#REF!,"AAAAACv//7Q=")</f>
        <v>#REF!</v>
      </c>
      <c r="FZ49" t="e">
        <f>AND(#REF!,"AAAAACv//7U=")</f>
        <v>#REF!</v>
      </c>
      <c r="GA49" t="e">
        <f>AND(#REF!,"AAAAACv//7Y=")</f>
        <v>#REF!</v>
      </c>
      <c r="GB49" t="e">
        <f>AND(#REF!,"AAAAACv//7c=")</f>
        <v>#REF!</v>
      </c>
      <c r="GC49" t="e">
        <f>AND(#REF!,"AAAAACv//7g=")</f>
        <v>#REF!</v>
      </c>
      <c r="GD49" t="e">
        <f>AND(#REF!,"AAAAACv//7k=")</f>
        <v>#REF!</v>
      </c>
      <c r="GE49" t="e">
        <f>AND(#REF!,"AAAAACv//7o=")</f>
        <v>#REF!</v>
      </c>
      <c r="GF49" t="e">
        <f>AND(#REF!,"AAAAACv//7s=")</f>
        <v>#REF!</v>
      </c>
      <c r="GG49" t="e">
        <f>AND(#REF!,"AAAAACv//7w=")</f>
        <v>#REF!</v>
      </c>
      <c r="GH49" t="e">
        <f>AND(#REF!,"AAAAACv//70=")</f>
        <v>#REF!</v>
      </c>
      <c r="GI49" t="e">
        <f>AND(#REF!,"AAAAACv//74=")</f>
        <v>#REF!</v>
      </c>
      <c r="GJ49" t="e">
        <f>AND(#REF!,"AAAAACv//78=")</f>
        <v>#REF!</v>
      </c>
      <c r="GK49" t="e">
        <f>AND(#REF!,"AAAAACv//8A=")</f>
        <v>#REF!</v>
      </c>
      <c r="GL49" t="e">
        <f>AND(#REF!,"AAAAACv//8E=")</f>
        <v>#REF!</v>
      </c>
      <c r="GM49" t="e">
        <f>AND(#REF!,"AAAAACv//8I=")</f>
        <v>#REF!</v>
      </c>
      <c r="GN49" t="e">
        <f>AND(#REF!,"AAAAACv//8M=")</f>
        <v>#REF!</v>
      </c>
      <c r="GO49" t="e">
        <f>AND(#REF!,"AAAAACv//8Q=")</f>
        <v>#REF!</v>
      </c>
      <c r="GP49" t="e">
        <f>AND(#REF!,"AAAAACv//8U=")</f>
        <v>#REF!</v>
      </c>
      <c r="GQ49" t="e">
        <f>AND(#REF!,"AAAAACv//8Y=")</f>
        <v>#REF!</v>
      </c>
      <c r="GR49" t="e">
        <f>AND(#REF!,"AAAAACv//8c=")</f>
        <v>#REF!</v>
      </c>
      <c r="GS49" t="e">
        <f>AND(#REF!,"AAAAACv//8g=")</f>
        <v>#REF!</v>
      </c>
      <c r="GT49" t="e">
        <f>AND(#REF!,"AAAAACv//8k=")</f>
        <v>#REF!</v>
      </c>
      <c r="GU49" t="e">
        <f>AND(#REF!,"AAAAACv//8o=")</f>
        <v>#REF!</v>
      </c>
      <c r="GV49" t="e">
        <f>AND(#REF!,"AAAAACv//8s=")</f>
        <v>#REF!</v>
      </c>
      <c r="GW49" t="e">
        <f>AND(#REF!,"AAAAACv//8w=")</f>
        <v>#REF!</v>
      </c>
      <c r="GX49" t="e">
        <f>IF(#REF!,"AAAAACv//80=",0)</f>
        <v>#REF!</v>
      </c>
      <c r="GY49" t="e">
        <f>AND(#REF!,"AAAAACv//84=")</f>
        <v>#REF!</v>
      </c>
      <c r="GZ49" t="e">
        <f>AND(#REF!,"AAAAACv//88=")</f>
        <v>#REF!</v>
      </c>
      <c r="HA49" t="e">
        <f>AND(#REF!,"AAAAACv//9A=")</f>
        <v>#REF!</v>
      </c>
      <c r="HB49" t="e">
        <f>AND(#REF!,"AAAAACv//9E=")</f>
        <v>#REF!</v>
      </c>
      <c r="HC49" t="e">
        <f>AND(#REF!,"AAAAACv//9I=")</f>
        <v>#REF!</v>
      </c>
      <c r="HD49" t="e">
        <f>AND(#REF!,"AAAAACv//9M=")</f>
        <v>#REF!</v>
      </c>
      <c r="HE49" t="e">
        <f>AND(#REF!,"AAAAACv//9Q=")</f>
        <v>#REF!</v>
      </c>
      <c r="HF49" t="e">
        <f>AND(#REF!,"AAAAACv//9U=")</f>
        <v>#REF!</v>
      </c>
      <c r="HG49" t="e">
        <f>AND(#REF!,"AAAAACv//9Y=")</f>
        <v>#REF!</v>
      </c>
      <c r="HH49" t="e">
        <f>AND(#REF!,"AAAAACv//9c=")</f>
        <v>#REF!</v>
      </c>
      <c r="HI49" t="e">
        <f>AND(#REF!,"AAAAACv//9g=")</f>
        <v>#REF!</v>
      </c>
      <c r="HJ49" t="e">
        <f>AND(#REF!,"AAAAACv//9k=")</f>
        <v>#REF!</v>
      </c>
      <c r="HK49" t="e">
        <f>AND(#REF!,"AAAAACv//9o=")</f>
        <v>#REF!</v>
      </c>
      <c r="HL49" t="e">
        <f>AND(#REF!,"AAAAACv//9s=")</f>
        <v>#REF!</v>
      </c>
      <c r="HM49" t="e">
        <f>AND(#REF!,"AAAAACv//9w=")</f>
        <v>#REF!</v>
      </c>
      <c r="HN49" t="e">
        <f>AND(#REF!,"AAAAACv//90=")</f>
        <v>#REF!</v>
      </c>
      <c r="HO49" t="e">
        <f>AND(#REF!,"AAAAACv//94=")</f>
        <v>#REF!</v>
      </c>
      <c r="HP49" t="e">
        <f>AND(#REF!,"AAAAACv//98=")</f>
        <v>#REF!</v>
      </c>
      <c r="HQ49" t="e">
        <f>AND(#REF!,"AAAAACv//+A=")</f>
        <v>#REF!</v>
      </c>
      <c r="HR49" t="e">
        <f>AND(#REF!,"AAAAACv//+E=")</f>
        <v>#REF!</v>
      </c>
      <c r="HS49" t="e">
        <f>AND(#REF!,"AAAAACv//+I=")</f>
        <v>#REF!</v>
      </c>
      <c r="HT49" t="e">
        <f>AND(#REF!,"AAAAACv//+M=")</f>
        <v>#REF!</v>
      </c>
      <c r="HU49" t="e">
        <f>AND(#REF!,"AAAAACv//+Q=")</f>
        <v>#REF!</v>
      </c>
      <c r="HV49" t="e">
        <f>AND(#REF!,"AAAAACv//+U=")</f>
        <v>#REF!</v>
      </c>
      <c r="HW49" t="e">
        <f>AND(#REF!,"AAAAACv//+Y=")</f>
        <v>#REF!</v>
      </c>
      <c r="HX49" t="e">
        <f>AND(#REF!,"AAAAACv//+c=")</f>
        <v>#REF!</v>
      </c>
      <c r="HY49" t="e">
        <f>IF(#REF!,"AAAAACv//+g=",0)</f>
        <v>#REF!</v>
      </c>
      <c r="HZ49" t="e">
        <f>AND(#REF!,"AAAAACv//+k=")</f>
        <v>#REF!</v>
      </c>
      <c r="IA49" t="e">
        <f>AND(#REF!,"AAAAACv//+o=")</f>
        <v>#REF!</v>
      </c>
      <c r="IB49" t="e">
        <f>AND(#REF!,"AAAAACv//+s=")</f>
        <v>#REF!</v>
      </c>
      <c r="IC49" t="e">
        <f>AND(#REF!,"AAAAACv//+w=")</f>
        <v>#REF!</v>
      </c>
      <c r="ID49" t="e">
        <f>AND(#REF!,"AAAAACv//+0=")</f>
        <v>#REF!</v>
      </c>
      <c r="IE49" t="e">
        <f>AND(#REF!,"AAAAACv//+4=")</f>
        <v>#REF!</v>
      </c>
      <c r="IF49" t="e">
        <f>AND(#REF!,"AAAAACv//+8=")</f>
        <v>#REF!</v>
      </c>
      <c r="IG49" t="e">
        <f>AND(#REF!,"AAAAACv///A=")</f>
        <v>#REF!</v>
      </c>
      <c r="IH49" t="e">
        <f>AND(#REF!,"AAAAACv///E=")</f>
        <v>#REF!</v>
      </c>
      <c r="II49" t="e">
        <f>AND(#REF!,"AAAAACv///I=")</f>
        <v>#REF!</v>
      </c>
      <c r="IJ49" t="e">
        <f>AND(#REF!,"AAAAACv///M=")</f>
        <v>#REF!</v>
      </c>
      <c r="IK49" t="e">
        <f>AND(#REF!,"AAAAACv///Q=")</f>
        <v>#REF!</v>
      </c>
      <c r="IL49" t="e">
        <f>AND(#REF!,"AAAAACv///U=")</f>
        <v>#REF!</v>
      </c>
      <c r="IM49" t="e">
        <f>AND(#REF!,"AAAAACv///Y=")</f>
        <v>#REF!</v>
      </c>
      <c r="IN49" t="e">
        <f>AND(#REF!,"AAAAACv///c=")</f>
        <v>#REF!</v>
      </c>
      <c r="IO49" t="e">
        <f>AND(#REF!,"AAAAACv///g=")</f>
        <v>#REF!</v>
      </c>
      <c r="IP49" t="e">
        <f>AND(#REF!,"AAAAACv///k=")</f>
        <v>#REF!</v>
      </c>
      <c r="IQ49" t="e">
        <f>AND(#REF!,"AAAAACv///o=")</f>
        <v>#REF!</v>
      </c>
      <c r="IR49" t="e">
        <f>AND(#REF!,"AAAAACv///s=")</f>
        <v>#REF!</v>
      </c>
      <c r="IS49" t="e">
        <f>AND(#REF!,"AAAAACv///w=")</f>
        <v>#REF!</v>
      </c>
      <c r="IT49" t="e">
        <f>AND(#REF!,"AAAAACv///0=")</f>
        <v>#REF!</v>
      </c>
      <c r="IU49" t="e">
        <f>AND(#REF!,"AAAAACv///4=")</f>
        <v>#REF!</v>
      </c>
      <c r="IV49" t="e">
        <f>AND(#REF!,"AAAAACv///8=")</f>
        <v>#REF!</v>
      </c>
    </row>
    <row r="50" spans="1:256" x14ac:dyDescent="0.2">
      <c r="A50" t="e">
        <f>AND(#REF!,"AAAAAH3+3QA=")</f>
        <v>#REF!</v>
      </c>
      <c r="B50" t="e">
        <f>AND(#REF!,"AAAAAH3+3QE=")</f>
        <v>#REF!</v>
      </c>
      <c r="C50" t="e">
        <f>AND(#REF!,"AAAAAH3+3QI=")</f>
        <v>#REF!</v>
      </c>
      <c r="D50" t="e">
        <f>IF(#REF!,"AAAAAH3+3QM=",0)</f>
        <v>#REF!</v>
      </c>
      <c r="E50" t="e">
        <f>AND(#REF!,"AAAAAH3+3QQ=")</f>
        <v>#REF!</v>
      </c>
      <c r="F50" t="e">
        <f>AND(#REF!,"AAAAAH3+3QU=")</f>
        <v>#REF!</v>
      </c>
      <c r="G50" t="e">
        <f>AND(#REF!,"AAAAAH3+3QY=")</f>
        <v>#REF!</v>
      </c>
      <c r="H50" t="e">
        <f>AND(#REF!,"AAAAAH3+3Qc=")</f>
        <v>#REF!</v>
      </c>
      <c r="I50" t="e">
        <f>AND(#REF!,"AAAAAH3+3Qg=")</f>
        <v>#REF!</v>
      </c>
      <c r="J50" t="e">
        <f>AND(#REF!,"AAAAAH3+3Qk=")</f>
        <v>#REF!</v>
      </c>
      <c r="K50" t="e">
        <f>AND(#REF!,"AAAAAH3+3Qo=")</f>
        <v>#REF!</v>
      </c>
      <c r="L50" t="e">
        <f>AND(#REF!,"AAAAAH3+3Qs=")</f>
        <v>#REF!</v>
      </c>
      <c r="M50" t="e">
        <f>AND(#REF!,"AAAAAH3+3Qw=")</f>
        <v>#REF!</v>
      </c>
      <c r="N50" t="e">
        <f>AND(#REF!,"AAAAAH3+3Q0=")</f>
        <v>#REF!</v>
      </c>
      <c r="O50" t="e">
        <f>AND(#REF!,"AAAAAH3+3Q4=")</f>
        <v>#REF!</v>
      </c>
      <c r="P50" t="e">
        <f>AND(#REF!,"AAAAAH3+3Q8=")</f>
        <v>#REF!</v>
      </c>
      <c r="Q50" t="e">
        <f>AND(#REF!,"AAAAAH3+3RA=")</f>
        <v>#REF!</v>
      </c>
      <c r="R50" t="e">
        <f>AND(#REF!,"AAAAAH3+3RE=")</f>
        <v>#REF!</v>
      </c>
      <c r="S50" t="e">
        <f>AND(#REF!,"AAAAAH3+3RI=")</f>
        <v>#REF!</v>
      </c>
      <c r="T50" t="e">
        <f>AND(#REF!,"AAAAAH3+3RM=")</f>
        <v>#REF!</v>
      </c>
      <c r="U50" t="e">
        <f>AND(#REF!,"AAAAAH3+3RQ=")</f>
        <v>#REF!</v>
      </c>
      <c r="V50" t="e">
        <f>AND(#REF!,"AAAAAH3+3RU=")</f>
        <v>#REF!</v>
      </c>
      <c r="W50" t="e">
        <f>AND(#REF!,"AAAAAH3+3RY=")</f>
        <v>#REF!</v>
      </c>
      <c r="X50" t="e">
        <f>AND(#REF!,"AAAAAH3+3Rc=")</f>
        <v>#REF!</v>
      </c>
      <c r="Y50" t="e">
        <f>AND(#REF!,"AAAAAH3+3Rg=")</f>
        <v>#REF!</v>
      </c>
      <c r="Z50" t="e">
        <f>AND(#REF!,"AAAAAH3+3Rk=")</f>
        <v>#REF!</v>
      </c>
      <c r="AA50" t="e">
        <f>AND(#REF!,"AAAAAH3+3Ro=")</f>
        <v>#REF!</v>
      </c>
      <c r="AB50" t="e">
        <f>AND(#REF!,"AAAAAH3+3Rs=")</f>
        <v>#REF!</v>
      </c>
      <c r="AC50" t="e">
        <f>AND(#REF!,"AAAAAH3+3Rw=")</f>
        <v>#REF!</v>
      </c>
      <c r="AD50" t="e">
        <f>AND(#REF!,"AAAAAH3+3R0=")</f>
        <v>#REF!</v>
      </c>
      <c r="AE50" t="e">
        <f>IF(#REF!,"AAAAAH3+3R4=",0)</f>
        <v>#REF!</v>
      </c>
      <c r="AF50" t="e">
        <f>AND(#REF!,"AAAAAH3+3R8=")</f>
        <v>#REF!</v>
      </c>
      <c r="AG50" t="e">
        <f>AND(#REF!,"AAAAAH3+3SA=")</f>
        <v>#REF!</v>
      </c>
      <c r="AH50" t="e">
        <f>AND(#REF!,"AAAAAH3+3SE=")</f>
        <v>#REF!</v>
      </c>
      <c r="AI50" t="e">
        <f>AND(#REF!,"AAAAAH3+3SI=")</f>
        <v>#REF!</v>
      </c>
      <c r="AJ50" t="e">
        <f>AND(#REF!,"AAAAAH3+3SM=")</f>
        <v>#REF!</v>
      </c>
      <c r="AK50" t="e">
        <f>AND(#REF!,"AAAAAH3+3SQ=")</f>
        <v>#REF!</v>
      </c>
      <c r="AL50" t="e">
        <f>AND(#REF!,"AAAAAH3+3SU=")</f>
        <v>#REF!</v>
      </c>
      <c r="AM50" t="e">
        <f>AND(#REF!,"AAAAAH3+3SY=")</f>
        <v>#REF!</v>
      </c>
      <c r="AN50" t="e">
        <f>AND(#REF!,"AAAAAH3+3Sc=")</f>
        <v>#REF!</v>
      </c>
      <c r="AO50" t="e">
        <f>AND(#REF!,"AAAAAH3+3Sg=")</f>
        <v>#REF!</v>
      </c>
      <c r="AP50" t="e">
        <f>AND(#REF!,"AAAAAH3+3Sk=")</f>
        <v>#REF!</v>
      </c>
      <c r="AQ50" t="e">
        <f>AND(#REF!,"AAAAAH3+3So=")</f>
        <v>#REF!</v>
      </c>
      <c r="AR50" t="e">
        <f>AND(#REF!,"AAAAAH3+3Ss=")</f>
        <v>#REF!</v>
      </c>
      <c r="AS50" t="e">
        <f>AND(#REF!,"AAAAAH3+3Sw=")</f>
        <v>#REF!</v>
      </c>
      <c r="AT50" t="e">
        <f>AND(#REF!,"AAAAAH3+3S0=")</f>
        <v>#REF!</v>
      </c>
      <c r="AU50" t="e">
        <f>AND(#REF!,"AAAAAH3+3S4=")</f>
        <v>#REF!</v>
      </c>
      <c r="AV50" t="e">
        <f>AND(#REF!,"AAAAAH3+3S8=")</f>
        <v>#REF!</v>
      </c>
      <c r="AW50" t="e">
        <f>AND(#REF!,"AAAAAH3+3TA=")</f>
        <v>#REF!</v>
      </c>
      <c r="AX50" t="e">
        <f>AND(#REF!,"AAAAAH3+3TE=")</f>
        <v>#REF!</v>
      </c>
      <c r="AY50" t="e">
        <f>AND(#REF!,"AAAAAH3+3TI=")</f>
        <v>#REF!</v>
      </c>
      <c r="AZ50" t="e">
        <f>AND(#REF!,"AAAAAH3+3TM=")</f>
        <v>#REF!</v>
      </c>
      <c r="BA50" t="e">
        <f>AND(#REF!,"AAAAAH3+3TQ=")</f>
        <v>#REF!</v>
      </c>
      <c r="BB50" t="e">
        <f>AND(#REF!,"AAAAAH3+3TU=")</f>
        <v>#REF!</v>
      </c>
      <c r="BC50" t="e">
        <f>AND(#REF!,"AAAAAH3+3TY=")</f>
        <v>#REF!</v>
      </c>
      <c r="BD50" t="e">
        <f>AND(#REF!,"AAAAAH3+3Tc=")</f>
        <v>#REF!</v>
      </c>
      <c r="BE50" t="e">
        <f>AND(#REF!,"AAAAAH3+3Tg=")</f>
        <v>#REF!</v>
      </c>
      <c r="BF50" t="e">
        <f>IF(#REF!,"AAAAAH3+3Tk=",0)</f>
        <v>#REF!</v>
      </c>
      <c r="BG50" t="e">
        <f>IF(#REF!,"AAAAAH3+3To=",0)</f>
        <v>#REF!</v>
      </c>
      <c r="BH50" t="e">
        <f>IF(#REF!,"AAAAAH3+3Ts=",0)</f>
        <v>#REF!</v>
      </c>
      <c r="BI50" t="e">
        <f>IF(#REF!,"AAAAAH3+3Tw=",0)</f>
        <v>#REF!</v>
      </c>
      <c r="BJ50" t="e">
        <f>IF(#REF!,"AAAAAH3+3T0=",0)</f>
        <v>#REF!</v>
      </c>
      <c r="BK50" t="e">
        <f>IF(#REF!,"AAAAAH3+3T4=",0)</f>
        <v>#REF!</v>
      </c>
      <c r="BL50" t="e">
        <f>IF(#REF!,"AAAAAH3+3T8=",0)</f>
        <v>#REF!</v>
      </c>
      <c r="BM50" t="e">
        <f>IF(#REF!,"AAAAAH3+3UA=",0)</f>
        <v>#REF!</v>
      </c>
      <c r="BN50" t="e">
        <f>IF(#REF!,"AAAAAH3+3UE=",0)</f>
        <v>#REF!</v>
      </c>
      <c r="BO50" t="e">
        <f>IF(#REF!,"AAAAAH3+3UI=",0)</f>
        <v>#REF!</v>
      </c>
      <c r="BP50" t="e">
        <f>IF(#REF!,"AAAAAH3+3UM=",0)</f>
        <v>#REF!</v>
      </c>
      <c r="BQ50" t="e">
        <f>IF(#REF!,"AAAAAH3+3UQ=",0)</f>
        <v>#REF!</v>
      </c>
      <c r="BR50" t="e">
        <f>IF(#REF!,"AAAAAH3+3UU=",0)</f>
        <v>#REF!</v>
      </c>
      <c r="BS50" t="e">
        <f>IF(#REF!,"AAAAAH3+3UY=",0)</f>
        <v>#REF!</v>
      </c>
      <c r="BT50" t="e">
        <f>IF(#REF!,"AAAAAH3+3Uc=",0)</f>
        <v>#REF!</v>
      </c>
      <c r="BU50" t="e">
        <f>IF(#REF!,"AAAAAH3+3Ug=",0)</f>
        <v>#REF!</v>
      </c>
      <c r="BV50" t="e">
        <f>IF(#REF!,"AAAAAH3+3Uk=",0)</f>
        <v>#REF!</v>
      </c>
      <c r="BW50" t="e">
        <f>IF(#REF!,"AAAAAH3+3Uo=",0)</f>
        <v>#REF!</v>
      </c>
      <c r="BX50" t="e">
        <f>IF(#REF!,"AAAAAH3+3Us=",0)</f>
        <v>#REF!</v>
      </c>
      <c r="BY50" t="e">
        <f>IF(#REF!,"AAAAAH3+3Uw=",0)</f>
        <v>#REF!</v>
      </c>
      <c r="BZ50" t="e">
        <f>IF(#REF!,"AAAAAH3+3U0=",0)</f>
        <v>#REF!</v>
      </c>
      <c r="CA50" t="e">
        <f>IF(#REF!,"AAAAAH3+3U4=",0)</f>
        <v>#REF!</v>
      </c>
      <c r="CB50" t="e">
        <f>IF(#REF!,"AAAAAH3+3U8=",0)</f>
        <v>#REF!</v>
      </c>
      <c r="CC50" t="e">
        <f>IF(#REF!,"AAAAAH3+3VA=",0)</f>
        <v>#REF!</v>
      </c>
      <c r="CD50" t="e">
        <f>IF(#REF!,"AAAAAH3+3VE=",0)</f>
        <v>#REF!</v>
      </c>
      <c r="CE50" t="e">
        <f>IF(#REF!,"AAAAAH3+3VI=",0)</f>
        <v>#REF!</v>
      </c>
      <c r="CF50" t="e">
        <f>IF(#REF!,"AAAAAH3+3VM=",0)</f>
        <v>#REF!</v>
      </c>
      <c r="CG50" t="e">
        <f>AND(#REF!,"AAAAAH3+3VQ=")</f>
        <v>#REF!</v>
      </c>
      <c r="CH50" t="e">
        <f>AND(#REF!,"AAAAAH3+3VU=")</f>
        <v>#REF!</v>
      </c>
      <c r="CI50" t="e">
        <f>AND(#REF!,"AAAAAH3+3VY=")</f>
        <v>#REF!</v>
      </c>
      <c r="CJ50" t="e">
        <f>AND(#REF!,"AAAAAH3+3Vc=")</f>
        <v>#REF!</v>
      </c>
      <c r="CK50" t="e">
        <f>AND(#REF!,"AAAAAH3+3Vg=")</f>
        <v>#REF!</v>
      </c>
      <c r="CL50" t="e">
        <f>AND(#REF!,"AAAAAH3+3Vk=")</f>
        <v>#REF!</v>
      </c>
      <c r="CM50" t="e">
        <f>AND(#REF!,"AAAAAH3+3Vo=")</f>
        <v>#REF!</v>
      </c>
      <c r="CN50" t="e">
        <f>AND(#REF!,"AAAAAH3+3Vs=")</f>
        <v>#REF!</v>
      </c>
      <c r="CO50" t="e">
        <f>AND(#REF!,"AAAAAH3+3Vw=")</f>
        <v>#REF!</v>
      </c>
      <c r="CP50" t="e">
        <f>AND(#REF!,"AAAAAH3+3V0=")</f>
        <v>#REF!</v>
      </c>
      <c r="CQ50" t="e">
        <f>AND(#REF!,"AAAAAH3+3V4=")</f>
        <v>#REF!</v>
      </c>
      <c r="CR50" t="e">
        <f>AND(#REF!,"AAAAAH3+3V8=")</f>
        <v>#REF!</v>
      </c>
      <c r="CS50" t="e">
        <f>AND(#REF!,"AAAAAH3+3WA=")</f>
        <v>#REF!</v>
      </c>
      <c r="CT50" t="e">
        <f>AND(#REF!,"AAAAAH3+3WE=")</f>
        <v>#REF!</v>
      </c>
      <c r="CU50" t="e">
        <f>AND(#REF!,"AAAAAH3+3WI=")</f>
        <v>#REF!</v>
      </c>
      <c r="CV50" t="e">
        <f>AND(#REF!,"AAAAAH3+3WM=")</f>
        <v>#REF!</v>
      </c>
      <c r="CW50" t="e">
        <f>AND(#REF!,"AAAAAH3+3WQ=")</f>
        <v>#REF!</v>
      </c>
      <c r="CX50" t="e">
        <f>AND(#REF!,"AAAAAH3+3WU=")</f>
        <v>#REF!</v>
      </c>
      <c r="CY50" t="e">
        <f>AND(#REF!,"AAAAAH3+3WY=")</f>
        <v>#REF!</v>
      </c>
      <c r="CZ50" t="e">
        <f>AND(#REF!,"AAAAAH3+3Wc=")</f>
        <v>#REF!</v>
      </c>
      <c r="DA50" t="e">
        <f>AND(#REF!,"AAAAAH3+3Wg=")</f>
        <v>#REF!</v>
      </c>
      <c r="DB50" t="e">
        <f>AND(#REF!,"AAAAAH3+3Wk=")</f>
        <v>#REF!</v>
      </c>
      <c r="DC50" t="e">
        <f>AND(#REF!,"AAAAAH3+3Wo=")</f>
        <v>#REF!</v>
      </c>
      <c r="DD50" t="e">
        <f>AND(#REF!,"AAAAAH3+3Ws=")</f>
        <v>#REF!</v>
      </c>
      <c r="DE50" t="e">
        <f>AND(#REF!,"AAAAAH3+3Ww=")</f>
        <v>#REF!</v>
      </c>
      <c r="DF50" t="e">
        <f>AND(#REF!,"AAAAAH3+3W0=")</f>
        <v>#REF!</v>
      </c>
      <c r="DG50" t="e">
        <f>IF(#REF!,"AAAAAH3+3W4=",0)</f>
        <v>#REF!</v>
      </c>
      <c r="DH50" t="e">
        <f>AND(#REF!,"AAAAAH3+3W8=")</f>
        <v>#REF!</v>
      </c>
      <c r="DI50" t="e">
        <f>AND(#REF!,"AAAAAH3+3XA=")</f>
        <v>#REF!</v>
      </c>
      <c r="DJ50" t="e">
        <f>AND(#REF!,"AAAAAH3+3XE=")</f>
        <v>#REF!</v>
      </c>
      <c r="DK50" t="e">
        <f>AND(#REF!,"AAAAAH3+3XI=")</f>
        <v>#REF!</v>
      </c>
      <c r="DL50" t="e">
        <f>AND(#REF!,"AAAAAH3+3XM=")</f>
        <v>#REF!</v>
      </c>
      <c r="DM50" t="e">
        <f>AND(#REF!,"AAAAAH3+3XQ=")</f>
        <v>#REF!</v>
      </c>
      <c r="DN50" t="e">
        <f>AND(#REF!,"AAAAAH3+3XU=")</f>
        <v>#REF!</v>
      </c>
      <c r="DO50" t="e">
        <f>AND(#REF!,"AAAAAH3+3XY=")</f>
        <v>#REF!</v>
      </c>
      <c r="DP50" t="e">
        <f>AND(#REF!,"AAAAAH3+3Xc=")</f>
        <v>#REF!</v>
      </c>
      <c r="DQ50" t="e">
        <f>AND(#REF!,"AAAAAH3+3Xg=")</f>
        <v>#REF!</v>
      </c>
      <c r="DR50" t="e">
        <f>AND(#REF!,"AAAAAH3+3Xk=")</f>
        <v>#REF!</v>
      </c>
      <c r="DS50" t="e">
        <f>AND(#REF!,"AAAAAH3+3Xo=")</f>
        <v>#REF!</v>
      </c>
      <c r="DT50" t="e">
        <f>AND(#REF!,"AAAAAH3+3Xs=")</f>
        <v>#REF!</v>
      </c>
      <c r="DU50" t="e">
        <f>AND(#REF!,"AAAAAH3+3Xw=")</f>
        <v>#REF!</v>
      </c>
      <c r="DV50" t="e">
        <f>AND(#REF!,"AAAAAH3+3X0=")</f>
        <v>#REF!</v>
      </c>
      <c r="DW50" t="e">
        <f>AND(#REF!,"AAAAAH3+3X4=")</f>
        <v>#REF!</v>
      </c>
      <c r="DX50" t="e">
        <f>AND(#REF!,"AAAAAH3+3X8=")</f>
        <v>#REF!</v>
      </c>
      <c r="DY50" t="e">
        <f>AND(#REF!,"AAAAAH3+3YA=")</f>
        <v>#REF!</v>
      </c>
      <c r="DZ50" t="e">
        <f>AND(#REF!,"AAAAAH3+3YE=")</f>
        <v>#REF!</v>
      </c>
      <c r="EA50" t="e">
        <f>AND(#REF!,"AAAAAH3+3YI=")</f>
        <v>#REF!</v>
      </c>
      <c r="EB50" t="e">
        <f>AND(#REF!,"AAAAAH3+3YM=")</f>
        <v>#REF!</v>
      </c>
      <c r="EC50" t="e">
        <f>AND(#REF!,"AAAAAH3+3YQ=")</f>
        <v>#REF!</v>
      </c>
      <c r="ED50" t="e">
        <f>AND(#REF!,"AAAAAH3+3YU=")</f>
        <v>#REF!</v>
      </c>
      <c r="EE50" t="e">
        <f>AND(#REF!,"AAAAAH3+3YY=")</f>
        <v>#REF!</v>
      </c>
      <c r="EF50" t="e">
        <f>AND(#REF!,"AAAAAH3+3Yc=")</f>
        <v>#REF!</v>
      </c>
      <c r="EG50" t="e">
        <f>AND(#REF!,"AAAAAH3+3Yg=")</f>
        <v>#REF!</v>
      </c>
      <c r="EH50" t="e">
        <f>IF(#REF!,"AAAAAH3+3Yk=",0)</f>
        <v>#REF!</v>
      </c>
      <c r="EI50" t="e">
        <f>AND(#REF!,"AAAAAH3+3Yo=")</f>
        <v>#REF!</v>
      </c>
      <c r="EJ50" t="e">
        <f>AND(#REF!,"AAAAAH3+3Ys=")</f>
        <v>#REF!</v>
      </c>
      <c r="EK50" t="e">
        <f>AND(#REF!,"AAAAAH3+3Yw=")</f>
        <v>#REF!</v>
      </c>
      <c r="EL50" t="e">
        <f>AND(#REF!,"AAAAAH3+3Y0=")</f>
        <v>#REF!</v>
      </c>
      <c r="EM50" t="e">
        <f>AND(#REF!,"AAAAAH3+3Y4=")</f>
        <v>#REF!</v>
      </c>
      <c r="EN50" t="e">
        <f>AND(#REF!,"AAAAAH3+3Y8=")</f>
        <v>#REF!</v>
      </c>
      <c r="EO50" t="e">
        <f>AND(#REF!,"AAAAAH3+3ZA=")</f>
        <v>#REF!</v>
      </c>
      <c r="EP50" t="e">
        <f>AND(#REF!,"AAAAAH3+3ZE=")</f>
        <v>#REF!</v>
      </c>
      <c r="EQ50" t="e">
        <f>AND(#REF!,"AAAAAH3+3ZI=")</f>
        <v>#REF!</v>
      </c>
      <c r="ER50" t="e">
        <f>AND(#REF!,"AAAAAH3+3ZM=")</f>
        <v>#REF!</v>
      </c>
      <c r="ES50" t="e">
        <f>AND(#REF!,"AAAAAH3+3ZQ=")</f>
        <v>#REF!</v>
      </c>
      <c r="ET50" t="e">
        <f>AND(#REF!,"AAAAAH3+3ZU=")</f>
        <v>#REF!</v>
      </c>
      <c r="EU50" t="e">
        <f>AND(#REF!,"AAAAAH3+3ZY=")</f>
        <v>#REF!</v>
      </c>
      <c r="EV50" t="e">
        <f>AND(#REF!,"AAAAAH3+3Zc=")</f>
        <v>#REF!</v>
      </c>
      <c r="EW50" t="e">
        <f>AND(#REF!,"AAAAAH3+3Zg=")</f>
        <v>#REF!</v>
      </c>
      <c r="EX50" t="e">
        <f>AND(#REF!,"AAAAAH3+3Zk=")</f>
        <v>#REF!</v>
      </c>
      <c r="EY50" t="e">
        <f>AND(#REF!,"AAAAAH3+3Zo=")</f>
        <v>#REF!</v>
      </c>
      <c r="EZ50" t="e">
        <f>AND(#REF!,"AAAAAH3+3Zs=")</f>
        <v>#REF!</v>
      </c>
      <c r="FA50" t="e">
        <f>AND(#REF!,"AAAAAH3+3Zw=")</f>
        <v>#REF!</v>
      </c>
      <c r="FB50" t="e">
        <f>AND(#REF!,"AAAAAH3+3Z0=")</f>
        <v>#REF!</v>
      </c>
      <c r="FC50" t="e">
        <f>AND(#REF!,"AAAAAH3+3Z4=")</f>
        <v>#REF!</v>
      </c>
      <c r="FD50" t="e">
        <f>AND(#REF!,"AAAAAH3+3Z8=")</f>
        <v>#REF!</v>
      </c>
      <c r="FE50" t="e">
        <f>AND(#REF!,"AAAAAH3+3aA=")</f>
        <v>#REF!</v>
      </c>
      <c r="FF50" t="e">
        <f>AND(#REF!,"AAAAAH3+3aE=")</f>
        <v>#REF!</v>
      </c>
      <c r="FG50" t="e">
        <f>AND(#REF!,"AAAAAH3+3aI=")</f>
        <v>#REF!</v>
      </c>
      <c r="FH50" t="e">
        <f>AND(#REF!,"AAAAAH3+3aM=")</f>
        <v>#REF!</v>
      </c>
      <c r="FI50" t="e">
        <f>IF(#REF!,"AAAAAH3+3aQ=",0)</f>
        <v>#REF!</v>
      </c>
      <c r="FJ50" t="e">
        <f>AND(#REF!,"AAAAAH3+3aU=")</f>
        <v>#REF!</v>
      </c>
      <c r="FK50" t="e">
        <f>AND(#REF!,"AAAAAH3+3aY=")</f>
        <v>#REF!</v>
      </c>
      <c r="FL50" t="e">
        <f>AND(#REF!,"AAAAAH3+3ac=")</f>
        <v>#REF!</v>
      </c>
      <c r="FM50" t="e">
        <f>AND(#REF!,"AAAAAH3+3ag=")</f>
        <v>#REF!</v>
      </c>
      <c r="FN50" t="e">
        <f>AND(#REF!,"AAAAAH3+3ak=")</f>
        <v>#REF!</v>
      </c>
      <c r="FO50" t="e">
        <f>AND(#REF!,"AAAAAH3+3ao=")</f>
        <v>#REF!</v>
      </c>
      <c r="FP50" t="e">
        <f>AND(#REF!,"AAAAAH3+3as=")</f>
        <v>#REF!</v>
      </c>
      <c r="FQ50" t="e">
        <f>AND(#REF!,"AAAAAH3+3aw=")</f>
        <v>#REF!</v>
      </c>
      <c r="FR50" t="e">
        <f>AND(#REF!,"AAAAAH3+3a0=")</f>
        <v>#REF!</v>
      </c>
      <c r="FS50" t="e">
        <f>AND(#REF!,"AAAAAH3+3a4=")</f>
        <v>#REF!</v>
      </c>
      <c r="FT50" t="e">
        <f>AND(#REF!,"AAAAAH3+3a8=")</f>
        <v>#REF!</v>
      </c>
      <c r="FU50" t="e">
        <f>AND(#REF!,"AAAAAH3+3bA=")</f>
        <v>#REF!</v>
      </c>
      <c r="FV50" t="e">
        <f>AND(#REF!,"AAAAAH3+3bE=")</f>
        <v>#REF!</v>
      </c>
      <c r="FW50" t="e">
        <f>AND(#REF!,"AAAAAH3+3bI=")</f>
        <v>#REF!</v>
      </c>
      <c r="FX50" t="e">
        <f>AND(#REF!,"AAAAAH3+3bM=")</f>
        <v>#REF!</v>
      </c>
      <c r="FY50" t="e">
        <f>AND(#REF!,"AAAAAH3+3bQ=")</f>
        <v>#REF!</v>
      </c>
      <c r="FZ50" t="e">
        <f>AND(#REF!,"AAAAAH3+3bU=")</f>
        <v>#REF!</v>
      </c>
      <c r="GA50" t="e">
        <f>AND(#REF!,"AAAAAH3+3bY=")</f>
        <v>#REF!</v>
      </c>
      <c r="GB50" t="e">
        <f>AND(#REF!,"AAAAAH3+3bc=")</f>
        <v>#REF!</v>
      </c>
      <c r="GC50" t="e">
        <f>AND(#REF!,"AAAAAH3+3bg=")</f>
        <v>#REF!</v>
      </c>
      <c r="GD50" t="e">
        <f>AND(#REF!,"AAAAAH3+3bk=")</f>
        <v>#REF!</v>
      </c>
      <c r="GE50" t="e">
        <f>AND(#REF!,"AAAAAH3+3bo=")</f>
        <v>#REF!</v>
      </c>
      <c r="GF50" t="e">
        <f>AND(#REF!,"AAAAAH3+3bs=")</f>
        <v>#REF!</v>
      </c>
      <c r="GG50" t="e">
        <f>AND(#REF!,"AAAAAH3+3bw=")</f>
        <v>#REF!</v>
      </c>
      <c r="GH50" t="e">
        <f>AND(#REF!,"AAAAAH3+3b0=")</f>
        <v>#REF!</v>
      </c>
      <c r="GI50" t="e">
        <f>AND(#REF!,"AAAAAH3+3b4=")</f>
        <v>#REF!</v>
      </c>
      <c r="GJ50" t="e">
        <f>IF(#REF!,"AAAAAH3+3b8=",0)</f>
        <v>#REF!</v>
      </c>
      <c r="GK50" t="e">
        <f>AND(#REF!,"AAAAAH3+3cA=")</f>
        <v>#REF!</v>
      </c>
      <c r="GL50" t="e">
        <f>AND(#REF!,"AAAAAH3+3cE=")</f>
        <v>#REF!</v>
      </c>
      <c r="GM50" t="e">
        <f>AND(#REF!,"AAAAAH3+3cI=")</f>
        <v>#REF!</v>
      </c>
      <c r="GN50" t="e">
        <f>AND(#REF!,"AAAAAH3+3cM=")</f>
        <v>#REF!</v>
      </c>
      <c r="GO50" t="e">
        <f>AND(#REF!,"AAAAAH3+3cQ=")</f>
        <v>#REF!</v>
      </c>
      <c r="GP50" t="e">
        <f>AND(#REF!,"AAAAAH3+3cU=")</f>
        <v>#REF!</v>
      </c>
      <c r="GQ50" t="e">
        <f>AND(#REF!,"AAAAAH3+3cY=")</f>
        <v>#REF!</v>
      </c>
      <c r="GR50" t="e">
        <f>AND(#REF!,"AAAAAH3+3cc=")</f>
        <v>#REF!</v>
      </c>
      <c r="GS50" t="e">
        <f>AND(#REF!,"AAAAAH3+3cg=")</f>
        <v>#REF!</v>
      </c>
      <c r="GT50" t="e">
        <f>AND(#REF!,"AAAAAH3+3ck=")</f>
        <v>#REF!</v>
      </c>
      <c r="GU50" t="e">
        <f>AND(#REF!,"AAAAAH3+3co=")</f>
        <v>#REF!</v>
      </c>
      <c r="GV50" t="e">
        <f>AND(#REF!,"AAAAAH3+3cs=")</f>
        <v>#REF!</v>
      </c>
      <c r="GW50" t="e">
        <f>AND(#REF!,"AAAAAH3+3cw=")</f>
        <v>#REF!</v>
      </c>
      <c r="GX50" t="e">
        <f>AND(#REF!,"AAAAAH3+3c0=")</f>
        <v>#REF!</v>
      </c>
      <c r="GY50" t="e">
        <f>AND(#REF!,"AAAAAH3+3c4=")</f>
        <v>#REF!</v>
      </c>
      <c r="GZ50" t="e">
        <f>AND(#REF!,"AAAAAH3+3c8=")</f>
        <v>#REF!</v>
      </c>
      <c r="HA50" t="e">
        <f>AND(#REF!,"AAAAAH3+3dA=")</f>
        <v>#REF!</v>
      </c>
      <c r="HB50" t="e">
        <f>AND(#REF!,"AAAAAH3+3dE=")</f>
        <v>#REF!</v>
      </c>
      <c r="HC50" t="e">
        <f>AND(#REF!,"AAAAAH3+3dI=")</f>
        <v>#REF!</v>
      </c>
      <c r="HD50" t="e">
        <f>AND(#REF!,"AAAAAH3+3dM=")</f>
        <v>#REF!</v>
      </c>
      <c r="HE50" t="e">
        <f>AND(#REF!,"AAAAAH3+3dQ=")</f>
        <v>#REF!</v>
      </c>
      <c r="HF50" t="e">
        <f>AND(#REF!,"AAAAAH3+3dU=")</f>
        <v>#REF!</v>
      </c>
      <c r="HG50" t="e">
        <f>AND(#REF!,"AAAAAH3+3dY=")</f>
        <v>#REF!</v>
      </c>
      <c r="HH50" t="e">
        <f>AND(#REF!,"AAAAAH3+3dc=")</f>
        <v>#REF!</v>
      </c>
      <c r="HI50" t="e">
        <f>AND(#REF!,"AAAAAH3+3dg=")</f>
        <v>#REF!</v>
      </c>
      <c r="HJ50" t="e">
        <f>AND(#REF!,"AAAAAH3+3dk=")</f>
        <v>#REF!</v>
      </c>
      <c r="HK50" t="e">
        <f>IF(#REF!,"AAAAAH3+3do=",0)</f>
        <v>#REF!</v>
      </c>
      <c r="HL50" t="e">
        <f>AND(#REF!,"AAAAAH3+3ds=")</f>
        <v>#REF!</v>
      </c>
      <c r="HM50" t="e">
        <f>AND(#REF!,"AAAAAH3+3dw=")</f>
        <v>#REF!</v>
      </c>
      <c r="HN50" t="e">
        <f>AND(#REF!,"AAAAAH3+3d0=")</f>
        <v>#REF!</v>
      </c>
      <c r="HO50" t="e">
        <f>AND(#REF!,"AAAAAH3+3d4=")</f>
        <v>#REF!</v>
      </c>
      <c r="HP50" t="e">
        <f>AND(#REF!,"AAAAAH3+3d8=")</f>
        <v>#REF!</v>
      </c>
      <c r="HQ50" t="e">
        <f>AND(#REF!,"AAAAAH3+3eA=")</f>
        <v>#REF!</v>
      </c>
      <c r="HR50" t="e">
        <f>AND(#REF!,"AAAAAH3+3eE=")</f>
        <v>#REF!</v>
      </c>
      <c r="HS50" t="e">
        <f>AND(#REF!,"AAAAAH3+3eI=")</f>
        <v>#REF!</v>
      </c>
      <c r="HT50" t="e">
        <f>AND(#REF!,"AAAAAH3+3eM=")</f>
        <v>#REF!</v>
      </c>
      <c r="HU50" t="e">
        <f>AND(#REF!,"AAAAAH3+3eQ=")</f>
        <v>#REF!</v>
      </c>
      <c r="HV50" t="e">
        <f>AND(#REF!,"AAAAAH3+3eU=")</f>
        <v>#REF!</v>
      </c>
      <c r="HW50" t="e">
        <f>AND(#REF!,"AAAAAH3+3eY=")</f>
        <v>#REF!</v>
      </c>
      <c r="HX50" t="e">
        <f>AND(#REF!,"AAAAAH3+3ec=")</f>
        <v>#REF!</v>
      </c>
      <c r="HY50" t="e">
        <f>AND(#REF!,"AAAAAH3+3eg=")</f>
        <v>#REF!</v>
      </c>
      <c r="HZ50" t="e">
        <f>AND(#REF!,"AAAAAH3+3ek=")</f>
        <v>#REF!</v>
      </c>
      <c r="IA50" t="e">
        <f>AND(#REF!,"AAAAAH3+3eo=")</f>
        <v>#REF!</v>
      </c>
      <c r="IB50" t="e">
        <f>AND(#REF!,"AAAAAH3+3es=")</f>
        <v>#REF!</v>
      </c>
      <c r="IC50" t="e">
        <f>AND(#REF!,"AAAAAH3+3ew=")</f>
        <v>#REF!</v>
      </c>
      <c r="ID50" t="e">
        <f>AND(#REF!,"AAAAAH3+3e0=")</f>
        <v>#REF!</v>
      </c>
      <c r="IE50" t="e">
        <f>AND(#REF!,"AAAAAH3+3e4=")</f>
        <v>#REF!</v>
      </c>
      <c r="IF50" t="e">
        <f>AND(#REF!,"AAAAAH3+3e8=")</f>
        <v>#REF!</v>
      </c>
      <c r="IG50" t="e">
        <f>AND(#REF!,"AAAAAH3+3fA=")</f>
        <v>#REF!</v>
      </c>
      <c r="IH50" t="e">
        <f>AND(#REF!,"AAAAAH3+3fE=")</f>
        <v>#REF!</v>
      </c>
      <c r="II50" t="e">
        <f>AND(#REF!,"AAAAAH3+3fI=")</f>
        <v>#REF!</v>
      </c>
      <c r="IJ50" t="e">
        <f>AND(#REF!,"AAAAAH3+3fM=")</f>
        <v>#REF!</v>
      </c>
      <c r="IK50" t="e">
        <f>AND(#REF!,"AAAAAH3+3fQ=")</f>
        <v>#REF!</v>
      </c>
      <c r="IL50" t="e">
        <f>IF(#REF!,"AAAAAH3+3fU=",0)</f>
        <v>#REF!</v>
      </c>
      <c r="IM50" t="e">
        <f>AND(#REF!,"AAAAAH3+3fY=")</f>
        <v>#REF!</v>
      </c>
      <c r="IN50" t="e">
        <f>AND(#REF!,"AAAAAH3+3fc=")</f>
        <v>#REF!</v>
      </c>
      <c r="IO50" t="e">
        <f>AND(#REF!,"AAAAAH3+3fg=")</f>
        <v>#REF!</v>
      </c>
      <c r="IP50" t="e">
        <f>AND(#REF!,"AAAAAH3+3fk=")</f>
        <v>#REF!</v>
      </c>
      <c r="IQ50" t="e">
        <f>AND(#REF!,"AAAAAH3+3fo=")</f>
        <v>#REF!</v>
      </c>
      <c r="IR50" t="e">
        <f>AND(#REF!,"AAAAAH3+3fs=")</f>
        <v>#REF!</v>
      </c>
      <c r="IS50" t="e">
        <f>AND(#REF!,"AAAAAH3+3fw=")</f>
        <v>#REF!</v>
      </c>
      <c r="IT50" t="e">
        <f>AND(#REF!,"AAAAAH3+3f0=")</f>
        <v>#REF!</v>
      </c>
      <c r="IU50" t="e">
        <f>AND(#REF!,"AAAAAH3+3f4=")</f>
        <v>#REF!</v>
      </c>
      <c r="IV50" t="e">
        <f>AND(#REF!,"AAAAAH3+3f8=")</f>
        <v>#REF!</v>
      </c>
    </row>
    <row r="51" spans="1:256" x14ac:dyDescent="0.2">
      <c r="A51" t="e">
        <f>AND(#REF!,"AAAAAF//qwA=")</f>
        <v>#REF!</v>
      </c>
      <c r="B51" t="e">
        <f>AND(#REF!,"AAAAAF//qwE=")</f>
        <v>#REF!</v>
      </c>
      <c r="C51" t="e">
        <f>AND(#REF!,"AAAAAF//qwI=")</f>
        <v>#REF!</v>
      </c>
      <c r="D51" t="e">
        <f>AND(#REF!,"AAAAAF//qwM=")</f>
        <v>#REF!</v>
      </c>
      <c r="E51" t="e">
        <f>AND(#REF!,"AAAAAF//qwQ=")</f>
        <v>#REF!</v>
      </c>
      <c r="F51" t="e">
        <f>AND(#REF!,"AAAAAF//qwU=")</f>
        <v>#REF!</v>
      </c>
      <c r="G51" t="e">
        <f>AND(#REF!,"AAAAAF//qwY=")</f>
        <v>#REF!</v>
      </c>
      <c r="H51" t="e">
        <f>AND(#REF!,"AAAAAF//qwc=")</f>
        <v>#REF!</v>
      </c>
      <c r="I51" t="e">
        <f>AND(#REF!,"AAAAAF//qwg=")</f>
        <v>#REF!</v>
      </c>
      <c r="J51" t="e">
        <f>AND(#REF!,"AAAAAF//qwk=")</f>
        <v>#REF!</v>
      </c>
      <c r="K51" t="e">
        <f>AND(#REF!,"AAAAAF//qwo=")</f>
        <v>#REF!</v>
      </c>
      <c r="L51" t="e">
        <f>AND(#REF!,"AAAAAF//qws=")</f>
        <v>#REF!</v>
      </c>
      <c r="M51" t="e">
        <f>AND(#REF!,"AAAAAF//qww=")</f>
        <v>#REF!</v>
      </c>
      <c r="N51" t="e">
        <f>AND(#REF!,"AAAAAF//qw0=")</f>
        <v>#REF!</v>
      </c>
      <c r="O51" t="e">
        <f>AND(#REF!,"AAAAAF//qw4=")</f>
        <v>#REF!</v>
      </c>
      <c r="P51" t="e">
        <f>AND(#REF!,"AAAAAF//qw8=")</f>
        <v>#REF!</v>
      </c>
      <c r="Q51" t="e">
        <f>IF(#REF!,"AAAAAF//qxA=",0)</f>
        <v>#REF!</v>
      </c>
      <c r="R51" t="e">
        <f>AND(#REF!,"AAAAAF//qxE=")</f>
        <v>#REF!</v>
      </c>
      <c r="S51" t="e">
        <f>AND(#REF!,"AAAAAF//qxI=")</f>
        <v>#REF!</v>
      </c>
      <c r="T51" t="e">
        <f>AND(#REF!,"AAAAAF//qxM=")</f>
        <v>#REF!</v>
      </c>
      <c r="U51" t="e">
        <f>AND(#REF!,"AAAAAF//qxQ=")</f>
        <v>#REF!</v>
      </c>
      <c r="V51" t="e">
        <f>AND(#REF!,"AAAAAF//qxU=")</f>
        <v>#REF!</v>
      </c>
      <c r="W51" t="e">
        <f>AND(#REF!,"AAAAAF//qxY=")</f>
        <v>#REF!</v>
      </c>
      <c r="X51" t="e">
        <f>AND(#REF!,"AAAAAF//qxc=")</f>
        <v>#REF!</v>
      </c>
      <c r="Y51" t="e">
        <f>AND(#REF!,"AAAAAF//qxg=")</f>
        <v>#REF!</v>
      </c>
      <c r="Z51" t="e">
        <f>AND(#REF!,"AAAAAF//qxk=")</f>
        <v>#REF!</v>
      </c>
      <c r="AA51" t="e">
        <f>AND(#REF!,"AAAAAF//qxo=")</f>
        <v>#REF!</v>
      </c>
      <c r="AB51" t="e">
        <f>AND(#REF!,"AAAAAF//qxs=")</f>
        <v>#REF!</v>
      </c>
      <c r="AC51" t="e">
        <f>AND(#REF!,"AAAAAF//qxw=")</f>
        <v>#REF!</v>
      </c>
      <c r="AD51" t="e">
        <f>AND(#REF!,"AAAAAF//qx0=")</f>
        <v>#REF!</v>
      </c>
      <c r="AE51" t="e">
        <f>AND(#REF!,"AAAAAF//qx4=")</f>
        <v>#REF!</v>
      </c>
      <c r="AF51" t="e">
        <f>AND(#REF!,"AAAAAF//qx8=")</f>
        <v>#REF!</v>
      </c>
      <c r="AG51" t="e">
        <f>AND(#REF!,"AAAAAF//qyA=")</f>
        <v>#REF!</v>
      </c>
      <c r="AH51" t="e">
        <f>AND(#REF!,"AAAAAF//qyE=")</f>
        <v>#REF!</v>
      </c>
      <c r="AI51" t="e">
        <f>AND(#REF!,"AAAAAF//qyI=")</f>
        <v>#REF!</v>
      </c>
      <c r="AJ51" t="e">
        <f>AND(#REF!,"AAAAAF//qyM=")</f>
        <v>#REF!</v>
      </c>
      <c r="AK51" t="e">
        <f>AND(#REF!,"AAAAAF//qyQ=")</f>
        <v>#REF!</v>
      </c>
      <c r="AL51" t="e">
        <f>AND(#REF!,"AAAAAF//qyU=")</f>
        <v>#REF!</v>
      </c>
      <c r="AM51" t="e">
        <f>AND(#REF!,"AAAAAF//qyY=")</f>
        <v>#REF!</v>
      </c>
      <c r="AN51" t="e">
        <f>AND(#REF!,"AAAAAF//qyc=")</f>
        <v>#REF!</v>
      </c>
      <c r="AO51" t="e">
        <f>AND(#REF!,"AAAAAF//qyg=")</f>
        <v>#REF!</v>
      </c>
      <c r="AP51" t="e">
        <f>AND(#REF!,"AAAAAF//qyk=")</f>
        <v>#REF!</v>
      </c>
      <c r="AQ51" t="e">
        <f>AND(#REF!,"AAAAAF//qyo=")</f>
        <v>#REF!</v>
      </c>
      <c r="AR51" t="e">
        <f>IF(#REF!,"AAAAAF//qys=",0)</f>
        <v>#REF!</v>
      </c>
      <c r="AS51" t="e">
        <f>AND(#REF!,"AAAAAF//qyw=")</f>
        <v>#REF!</v>
      </c>
      <c r="AT51" t="e">
        <f>AND(#REF!,"AAAAAF//qy0=")</f>
        <v>#REF!</v>
      </c>
      <c r="AU51" t="e">
        <f>AND(#REF!,"AAAAAF//qy4=")</f>
        <v>#REF!</v>
      </c>
      <c r="AV51" t="e">
        <f>AND(#REF!,"AAAAAF//qy8=")</f>
        <v>#REF!</v>
      </c>
      <c r="AW51" t="e">
        <f>AND(#REF!,"AAAAAF//qzA=")</f>
        <v>#REF!</v>
      </c>
      <c r="AX51" t="e">
        <f>AND(#REF!,"AAAAAF//qzE=")</f>
        <v>#REF!</v>
      </c>
      <c r="AY51" t="e">
        <f>AND(#REF!,"AAAAAF//qzI=")</f>
        <v>#REF!</v>
      </c>
      <c r="AZ51" t="e">
        <f>AND(#REF!,"AAAAAF//qzM=")</f>
        <v>#REF!</v>
      </c>
      <c r="BA51" t="e">
        <f>AND(#REF!,"AAAAAF//qzQ=")</f>
        <v>#REF!</v>
      </c>
      <c r="BB51" t="e">
        <f>AND(#REF!,"AAAAAF//qzU=")</f>
        <v>#REF!</v>
      </c>
      <c r="BC51" t="e">
        <f>AND(#REF!,"AAAAAF//qzY=")</f>
        <v>#REF!</v>
      </c>
      <c r="BD51" t="e">
        <f>AND(#REF!,"AAAAAF//qzc=")</f>
        <v>#REF!</v>
      </c>
      <c r="BE51" t="e">
        <f>AND(#REF!,"AAAAAF//qzg=")</f>
        <v>#REF!</v>
      </c>
      <c r="BF51" t="e">
        <f>AND(#REF!,"AAAAAF//qzk=")</f>
        <v>#REF!</v>
      </c>
      <c r="BG51" t="e">
        <f>AND(#REF!,"AAAAAF//qzo=")</f>
        <v>#REF!</v>
      </c>
      <c r="BH51" t="e">
        <f>AND(#REF!,"AAAAAF//qzs=")</f>
        <v>#REF!</v>
      </c>
      <c r="BI51" t="e">
        <f>AND(#REF!,"AAAAAF//qzw=")</f>
        <v>#REF!</v>
      </c>
      <c r="BJ51" t="e">
        <f>AND(#REF!,"AAAAAF//qz0=")</f>
        <v>#REF!</v>
      </c>
      <c r="BK51" t="e">
        <f>AND(#REF!,"AAAAAF//qz4=")</f>
        <v>#REF!</v>
      </c>
      <c r="BL51" t="e">
        <f>AND(#REF!,"AAAAAF//qz8=")</f>
        <v>#REF!</v>
      </c>
      <c r="BM51" t="e">
        <f>AND(#REF!,"AAAAAF//q0A=")</f>
        <v>#REF!</v>
      </c>
      <c r="BN51" t="e">
        <f>AND(#REF!,"AAAAAF//q0E=")</f>
        <v>#REF!</v>
      </c>
      <c r="BO51" t="e">
        <f>AND(#REF!,"AAAAAF//q0I=")</f>
        <v>#REF!</v>
      </c>
      <c r="BP51" t="e">
        <f>AND(#REF!,"AAAAAF//q0M=")</f>
        <v>#REF!</v>
      </c>
      <c r="BQ51" t="e">
        <f>AND(#REF!,"AAAAAF//q0Q=")</f>
        <v>#REF!</v>
      </c>
      <c r="BR51" t="e">
        <f>AND(#REF!,"AAAAAF//q0U=")</f>
        <v>#REF!</v>
      </c>
      <c r="BS51" t="e">
        <f>IF(#REF!,"AAAAAF//q0Y=",0)</f>
        <v>#REF!</v>
      </c>
      <c r="BT51" t="e">
        <f>AND(#REF!,"AAAAAF//q0c=")</f>
        <v>#REF!</v>
      </c>
      <c r="BU51" t="e">
        <f>AND(#REF!,"AAAAAF//q0g=")</f>
        <v>#REF!</v>
      </c>
      <c r="BV51" t="e">
        <f>AND(#REF!,"AAAAAF//q0k=")</f>
        <v>#REF!</v>
      </c>
      <c r="BW51" t="e">
        <f>AND(#REF!,"AAAAAF//q0o=")</f>
        <v>#REF!</v>
      </c>
      <c r="BX51" t="e">
        <f>AND(#REF!,"AAAAAF//q0s=")</f>
        <v>#REF!</v>
      </c>
      <c r="BY51" t="e">
        <f>AND(#REF!,"AAAAAF//q0w=")</f>
        <v>#REF!</v>
      </c>
      <c r="BZ51" t="e">
        <f>AND(#REF!,"AAAAAF//q00=")</f>
        <v>#REF!</v>
      </c>
      <c r="CA51" t="e">
        <f>AND(#REF!,"AAAAAF//q04=")</f>
        <v>#REF!</v>
      </c>
      <c r="CB51" t="e">
        <f>AND(#REF!,"AAAAAF//q08=")</f>
        <v>#REF!</v>
      </c>
      <c r="CC51" t="e">
        <f>AND(#REF!,"AAAAAF//q1A=")</f>
        <v>#REF!</v>
      </c>
      <c r="CD51" t="e">
        <f>AND(#REF!,"AAAAAF//q1E=")</f>
        <v>#REF!</v>
      </c>
      <c r="CE51" t="e">
        <f>AND(#REF!,"AAAAAF//q1I=")</f>
        <v>#REF!</v>
      </c>
      <c r="CF51" t="e">
        <f>AND(#REF!,"AAAAAF//q1M=")</f>
        <v>#REF!</v>
      </c>
      <c r="CG51" t="e">
        <f>AND(#REF!,"AAAAAF//q1Q=")</f>
        <v>#REF!</v>
      </c>
      <c r="CH51" t="e">
        <f>AND(#REF!,"AAAAAF//q1U=")</f>
        <v>#REF!</v>
      </c>
      <c r="CI51" t="e">
        <f>AND(#REF!,"AAAAAF//q1Y=")</f>
        <v>#REF!</v>
      </c>
      <c r="CJ51" t="e">
        <f>AND(#REF!,"AAAAAF//q1c=")</f>
        <v>#REF!</v>
      </c>
      <c r="CK51" t="e">
        <f>AND(#REF!,"AAAAAF//q1g=")</f>
        <v>#REF!</v>
      </c>
      <c r="CL51" t="e">
        <f>AND(#REF!,"AAAAAF//q1k=")</f>
        <v>#REF!</v>
      </c>
      <c r="CM51" t="e">
        <f>AND(#REF!,"AAAAAF//q1o=")</f>
        <v>#REF!</v>
      </c>
      <c r="CN51" t="e">
        <f>AND(#REF!,"AAAAAF//q1s=")</f>
        <v>#REF!</v>
      </c>
      <c r="CO51" t="e">
        <f>AND(#REF!,"AAAAAF//q1w=")</f>
        <v>#REF!</v>
      </c>
      <c r="CP51" t="e">
        <f>AND(#REF!,"AAAAAF//q10=")</f>
        <v>#REF!</v>
      </c>
      <c r="CQ51" t="e">
        <f>AND(#REF!,"AAAAAF//q14=")</f>
        <v>#REF!</v>
      </c>
      <c r="CR51" t="e">
        <f>AND(#REF!,"AAAAAF//q18=")</f>
        <v>#REF!</v>
      </c>
      <c r="CS51" t="e">
        <f>AND(#REF!,"AAAAAF//q2A=")</f>
        <v>#REF!</v>
      </c>
      <c r="CT51" t="e">
        <f>IF(#REF!,"AAAAAF//q2E=",0)</f>
        <v>#REF!</v>
      </c>
      <c r="CU51" t="e">
        <f>AND(#REF!,"AAAAAF//q2I=")</f>
        <v>#REF!</v>
      </c>
      <c r="CV51" t="e">
        <f>AND(#REF!,"AAAAAF//q2M=")</f>
        <v>#REF!</v>
      </c>
      <c r="CW51" t="e">
        <f>AND(#REF!,"AAAAAF//q2Q=")</f>
        <v>#REF!</v>
      </c>
      <c r="CX51" t="e">
        <f>AND(#REF!,"AAAAAF//q2U=")</f>
        <v>#REF!</v>
      </c>
      <c r="CY51" t="e">
        <f>AND(#REF!,"AAAAAF//q2Y=")</f>
        <v>#REF!</v>
      </c>
      <c r="CZ51" t="e">
        <f>AND(#REF!,"AAAAAF//q2c=")</f>
        <v>#REF!</v>
      </c>
      <c r="DA51" t="e">
        <f>AND(#REF!,"AAAAAF//q2g=")</f>
        <v>#REF!</v>
      </c>
      <c r="DB51" t="e">
        <f>AND(#REF!,"AAAAAF//q2k=")</f>
        <v>#REF!</v>
      </c>
      <c r="DC51" t="e">
        <f>AND(#REF!,"AAAAAF//q2o=")</f>
        <v>#REF!</v>
      </c>
      <c r="DD51" t="e">
        <f>AND(#REF!,"AAAAAF//q2s=")</f>
        <v>#REF!</v>
      </c>
      <c r="DE51" t="e">
        <f>AND(#REF!,"AAAAAF//q2w=")</f>
        <v>#REF!</v>
      </c>
      <c r="DF51" t="e">
        <f>AND(#REF!,"AAAAAF//q20=")</f>
        <v>#REF!</v>
      </c>
      <c r="DG51" t="e">
        <f>AND(#REF!,"AAAAAF//q24=")</f>
        <v>#REF!</v>
      </c>
      <c r="DH51" t="e">
        <f>AND(#REF!,"AAAAAF//q28=")</f>
        <v>#REF!</v>
      </c>
      <c r="DI51" t="e">
        <f>AND(#REF!,"AAAAAF//q3A=")</f>
        <v>#REF!</v>
      </c>
      <c r="DJ51" t="e">
        <f>AND(#REF!,"AAAAAF//q3E=")</f>
        <v>#REF!</v>
      </c>
      <c r="DK51" t="e">
        <f>AND(#REF!,"AAAAAF//q3I=")</f>
        <v>#REF!</v>
      </c>
      <c r="DL51" t="e">
        <f>AND(#REF!,"AAAAAF//q3M=")</f>
        <v>#REF!</v>
      </c>
      <c r="DM51" t="e">
        <f>AND(#REF!,"AAAAAF//q3Q=")</f>
        <v>#REF!</v>
      </c>
      <c r="DN51" t="e">
        <f>AND(#REF!,"AAAAAF//q3U=")</f>
        <v>#REF!</v>
      </c>
      <c r="DO51" t="e">
        <f>AND(#REF!,"AAAAAF//q3Y=")</f>
        <v>#REF!</v>
      </c>
      <c r="DP51" t="e">
        <f>AND(#REF!,"AAAAAF//q3c=")</f>
        <v>#REF!</v>
      </c>
      <c r="DQ51" t="e">
        <f>AND(#REF!,"AAAAAF//q3g=")</f>
        <v>#REF!</v>
      </c>
      <c r="DR51" t="e">
        <f>AND(#REF!,"AAAAAF//q3k=")</f>
        <v>#REF!</v>
      </c>
      <c r="DS51" t="e">
        <f>AND(#REF!,"AAAAAF//q3o=")</f>
        <v>#REF!</v>
      </c>
      <c r="DT51" t="e">
        <f>AND(#REF!,"AAAAAF//q3s=")</f>
        <v>#REF!</v>
      </c>
      <c r="DU51" t="e">
        <f>IF(#REF!,"AAAAAF//q3w=",0)</f>
        <v>#REF!</v>
      </c>
      <c r="DV51" t="e">
        <f>AND(#REF!,"AAAAAF//q30=")</f>
        <v>#REF!</v>
      </c>
      <c r="DW51" t="e">
        <f>AND(#REF!,"AAAAAF//q34=")</f>
        <v>#REF!</v>
      </c>
      <c r="DX51" t="e">
        <f>AND(#REF!,"AAAAAF//q38=")</f>
        <v>#REF!</v>
      </c>
      <c r="DY51" t="e">
        <f>AND(#REF!,"AAAAAF//q4A=")</f>
        <v>#REF!</v>
      </c>
      <c r="DZ51" t="e">
        <f>AND(#REF!,"AAAAAF//q4E=")</f>
        <v>#REF!</v>
      </c>
      <c r="EA51" t="e">
        <f>AND(#REF!,"AAAAAF//q4I=")</f>
        <v>#REF!</v>
      </c>
      <c r="EB51" t="e">
        <f>AND(#REF!,"AAAAAF//q4M=")</f>
        <v>#REF!</v>
      </c>
      <c r="EC51" t="e">
        <f>AND(#REF!,"AAAAAF//q4Q=")</f>
        <v>#REF!</v>
      </c>
      <c r="ED51" t="e">
        <f>AND(#REF!,"AAAAAF//q4U=")</f>
        <v>#REF!</v>
      </c>
      <c r="EE51" t="e">
        <f>AND(#REF!,"AAAAAF//q4Y=")</f>
        <v>#REF!</v>
      </c>
      <c r="EF51" t="e">
        <f>AND(#REF!,"AAAAAF//q4c=")</f>
        <v>#REF!</v>
      </c>
      <c r="EG51" t="e">
        <f>AND(#REF!,"AAAAAF//q4g=")</f>
        <v>#REF!</v>
      </c>
      <c r="EH51" t="e">
        <f>AND(#REF!,"AAAAAF//q4k=")</f>
        <v>#REF!</v>
      </c>
      <c r="EI51" t="e">
        <f>AND(#REF!,"AAAAAF//q4o=")</f>
        <v>#REF!</v>
      </c>
      <c r="EJ51" t="e">
        <f>AND(#REF!,"AAAAAF//q4s=")</f>
        <v>#REF!</v>
      </c>
      <c r="EK51" t="e">
        <f>AND(#REF!,"AAAAAF//q4w=")</f>
        <v>#REF!</v>
      </c>
      <c r="EL51" t="e">
        <f>AND(#REF!,"AAAAAF//q40=")</f>
        <v>#REF!</v>
      </c>
      <c r="EM51" t="e">
        <f>AND(#REF!,"AAAAAF//q44=")</f>
        <v>#REF!</v>
      </c>
      <c r="EN51" t="e">
        <f>AND(#REF!,"AAAAAF//q48=")</f>
        <v>#REF!</v>
      </c>
      <c r="EO51" t="e">
        <f>AND(#REF!,"AAAAAF//q5A=")</f>
        <v>#REF!</v>
      </c>
      <c r="EP51" t="e">
        <f>AND(#REF!,"AAAAAF//q5E=")</f>
        <v>#REF!</v>
      </c>
      <c r="EQ51" t="e">
        <f>AND(#REF!,"AAAAAF//q5I=")</f>
        <v>#REF!</v>
      </c>
      <c r="ER51" t="e">
        <f>AND(#REF!,"AAAAAF//q5M=")</f>
        <v>#REF!</v>
      </c>
      <c r="ES51" t="e">
        <f>AND(#REF!,"AAAAAF//q5Q=")</f>
        <v>#REF!</v>
      </c>
      <c r="ET51" t="e">
        <f>AND(#REF!,"AAAAAF//q5U=")</f>
        <v>#REF!</v>
      </c>
      <c r="EU51" t="e">
        <f>AND(#REF!,"AAAAAF//q5Y=")</f>
        <v>#REF!</v>
      </c>
      <c r="EV51" t="e">
        <f>IF(#REF!,"AAAAAF//q5c=",0)</f>
        <v>#REF!</v>
      </c>
      <c r="EW51" t="e">
        <f>AND(#REF!,"AAAAAF//q5g=")</f>
        <v>#REF!</v>
      </c>
      <c r="EX51" t="e">
        <f>AND(#REF!,"AAAAAF//q5k=")</f>
        <v>#REF!</v>
      </c>
      <c r="EY51" t="e">
        <f>AND(#REF!,"AAAAAF//q5o=")</f>
        <v>#REF!</v>
      </c>
      <c r="EZ51" t="e">
        <f>AND(#REF!,"AAAAAF//q5s=")</f>
        <v>#REF!</v>
      </c>
      <c r="FA51" t="e">
        <f>AND(#REF!,"AAAAAF//q5w=")</f>
        <v>#REF!</v>
      </c>
      <c r="FB51" t="e">
        <f>AND(#REF!,"AAAAAF//q50=")</f>
        <v>#REF!</v>
      </c>
      <c r="FC51" t="e">
        <f>AND(#REF!,"AAAAAF//q54=")</f>
        <v>#REF!</v>
      </c>
      <c r="FD51" t="e">
        <f>AND(#REF!,"AAAAAF//q58=")</f>
        <v>#REF!</v>
      </c>
      <c r="FE51" t="e">
        <f>AND(#REF!,"AAAAAF//q6A=")</f>
        <v>#REF!</v>
      </c>
      <c r="FF51" t="e">
        <f>AND(#REF!,"AAAAAF//q6E=")</f>
        <v>#REF!</v>
      </c>
      <c r="FG51" t="e">
        <f>AND(#REF!,"AAAAAF//q6I=")</f>
        <v>#REF!</v>
      </c>
      <c r="FH51" t="e">
        <f>AND(#REF!,"AAAAAF//q6M=")</f>
        <v>#REF!</v>
      </c>
      <c r="FI51" t="e">
        <f>AND(#REF!,"AAAAAF//q6Q=")</f>
        <v>#REF!</v>
      </c>
      <c r="FJ51" t="e">
        <f>AND(#REF!,"AAAAAF//q6U=")</f>
        <v>#REF!</v>
      </c>
      <c r="FK51" t="e">
        <f>AND(#REF!,"AAAAAF//q6Y=")</f>
        <v>#REF!</v>
      </c>
      <c r="FL51" t="e">
        <f>AND(#REF!,"AAAAAF//q6c=")</f>
        <v>#REF!</v>
      </c>
      <c r="FM51" t="e">
        <f>AND(#REF!,"AAAAAF//q6g=")</f>
        <v>#REF!</v>
      </c>
      <c r="FN51" t="e">
        <f>AND(#REF!,"AAAAAF//q6k=")</f>
        <v>#REF!</v>
      </c>
      <c r="FO51" t="e">
        <f>AND(#REF!,"AAAAAF//q6o=")</f>
        <v>#REF!</v>
      </c>
      <c r="FP51" t="e">
        <f>AND(#REF!,"AAAAAF//q6s=")</f>
        <v>#REF!</v>
      </c>
      <c r="FQ51" t="e">
        <f>AND(#REF!,"AAAAAF//q6w=")</f>
        <v>#REF!</v>
      </c>
      <c r="FR51" t="e">
        <f>AND(#REF!,"AAAAAF//q60=")</f>
        <v>#REF!</v>
      </c>
      <c r="FS51" t="e">
        <f>AND(#REF!,"AAAAAF//q64=")</f>
        <v>#REF!</v>
      </c>
      <c r="FT51" t="e">
        <f>AND(#REF!,"AAAAAF//q68=")</f>
        <v>#REF!</v>
      </c>
      <c r="FU51" t="e">
        <f>AND(#REF!,"AAAAAF//q7A=")</f>
        <v>#REF!</v>
      </c>
      <c r="FV51" t="e">
        <f>AND(#REF!,"AAAAAF//q7E=")</f>
        <v>#REF!</v>
      </c>
      <c r="FW51" t="e">
        <f>IF(#REF!,"AAAAAF//q7I=",0)</f>
        <v>#REF!</v>
      </c>
      <c r="FX51" t="e">
        <f>AND(#REF!,"AAAAAF//q7M=")</f>
        <v>#REF!</v>
      </c>
      <c r="FY51" t="e">
        <f>AND(#REF!,"AAAAAF//q7Q=")</f>
        <v>#REF!</v>
      </c>
      <c r="FZ51" t="e">
        <f>AND(#REF!,"AAAAAF//q7U=")</f>
        <v>#REF!</v>
      </c>
      <c r="GA51" t="e">
        <f>AND(#REF!,"AAAAAF//q7Y=")</f>
        <v>#REF!</v>
      </c>
      <c r="GB51" t="e">
        <f>AND(#REF!,"AAAAAF//q7c=")</f>
        <v>#REF!</v>
      </c>
      <c r="GC51" t="e">
        <f>AND(#REF!,"AAAAAF//q7g=")</f>
        <v>#REF!</v>
      </c>
      <c r="GD51" t="e">
        <f>AND(#REF!,"AAAAAF//q7k=")</f>
        <v>#REF!</v>
      </c>
      <c r="GE51" t="e">
        <f>AND(#REF!,"AAAAAF//q7o=")</f>
        <v>#REF!</v>
      </c>
      <c r="GF51" t="e">
        <f>AND(#REF!,"AAAAAF//q7s=")</f>
        <v>#REF!</v>
      </c>
      <c r="GG51" t="e">
        <f>AND(#REF!,"AAAAAF//q7w=")</f>
        <v>#REF!</v>
      </c>
      <c r="GH51" t="e">
        <f>AND(#REF!,"AAAAAF//q70=")</f>
        <v>#REF!</v>
      </c>
      <c r="GI51" t="e">
        <f>AND(#REF!,"AAAAAF//q74=")</f>
        <v>#REF!</v>
      </c>
      <c r="GJ51" t="e">
        <f>AND(#REF!,"AAAAAF//q78=")</f>
        <v>#REF!</v>
      </c>
      <c r="GK51" t="e">
        <f>AND(#REF!,"AAAAAF//q8A=")</f>
        <v>#REF!</v>
      </c>
      <c r="GL51" t="e">
        <f>AND(#REF!,"AAAAAF//q8E=")</f>
        <v>#REF!</v>
      </c>
      <c r="GM51" t="e">
        <f>AND(#REF!,"AAAAAF//q8I=")</f>
        <v>#REF!</v>
      </c>
      <c r="GN51" t="e">
        <f>AND(#REF!,"AAAAAF//q8M=")</f>
        <v>#REF!</v>
      </c>
      <c r="GO51" t="e">
        <f>AND(#REF!,"AAAAAF//q8Q=")</f>
        <v>#REF!</v>
      </c>
      <c r="GP51" t="e">
        <f>AND(#REF!,"AAAAAF//q8U=")</f>
        <v>#REF!</v>
      </c>
      <c r="GQ51" t="e">
        <f>AND(#REF!,"AAAAAF//q8Y=")</f>
        <v>#REF!</v>
      </c>
      <c r="GR51" t="e">
        <f>AND(#REF!,"AAAAAF//q8c=")</f>
        <v>#REF!</v>
      </c>
      <c r="GS51" t="e">
        <f>AND(#REF!,"AAAAAF//q8g=")</f>
        <v>#REF!</v>
      </c>
      <c r="GT51" t="e">
        <f>AND(#REF!,"AAAAAF//q8k=")</f>
        <v>#REF!</v>
      </c>
      <c r="GU51" t="e">
        <f>AND(#REF!,"AAAAAF//q8o=")</f>
        <v>#REF!</v>
      </c>
      <c r="GV51" t="e">
        <f>AND(#REF!,"AAAAAF//q8s=")</f>
        <v>#REF!</v>
      </c>
      <c r="GW51" t="e">
        <f>AND(#REF!,"AAAAAF//q8w=")</f>
        <v>#REF!</v>
      </c>
      <c r="GX51" t="e">
        <f>IF(#REF!,"AAAAAF//q80=",0)</f>
        <v>#REF!</v>
      </c>
      <c r="GY51" t="e">
        <f>AND(#REF!,"AAAAAF//q84=")</f>
        <v>#REF!</v>
      </c>
      <c r="GZ51" t="e">
        <f>AND(#REF!,"AAAAAF//q88=")</f>
        <v>#REF!</v>
      </c>
      <c r="HA51" t="e">
        <f>AND(#REF!,"AAAAAF//q9A=")</f>
        <v>#REF!</v>
      </c>
      <c r="HB51" t="e">
        <f>AND(#REF!,"AAAAAF//q9E=")</f>
        <v>#REF!</v>
      </c>
      <c r="HC51" t="e">
        <f>AND(#REF!,"AAAAAF//q9I=")</f>
        <v>#REF!</v>
      </c>
      <c r="HD51" t="e">
        <f>AND(#REF!,"AAAAAF//q9M=")</f>
        <v>#REF!</v>
      </c>
      <c r="HE51" t="e">
        <f>AND(#REF!,"AAAAAF//q9Q=")</f>
        <v>#REF!</v>
      </c>
      <c r="HF51" t="e">
        <f>AND(#REF!,"AAAAAF//q9U=")</f>
        <v>#REF!</v>
      </c>
      <c r="HG51" t="e">
        <f>AND(#REF!,"AAAAAF//q9Y=")</f>
        <v>#REF!</v>
      </c>
      <c r="HH51" t="e">
        <f>AND(#REF!,"AAAAAF//q9c=")</f>
        <v>#REF!</v>
      </c>
      <c r="HI51" t="e">
        <f>AND(#REF!,"AAAAAF//q9g=")</f>
        <v>#REF!</v>
      </c>
      <c r="HJ51" t="e">
        <f>AND(#REF!,"AAAAAF//q9k=")</f>
        <v>#REF!</v>
      </c>
      <c r="HK51" t="e">
        <f>AND(#REF!,"AAAAAF//q9o=")</f>
        <v>#REF!</v>
      </c>
      <c r="HL51" t="e">
        <f>AND(#REF!,"AAAAAF//q9s=")</f>
        <v>#REF!</v>
      </c>
      <c r="HM51" t="e">
        <f>AND(#REF!,"AAAAAF//q9w=")</f>
        <v>#REF!</v>
      </c>
      <c r="HN51" t="e">
        <f>AND(#REF!,"AAAAAF//q90=")</f>
        <v>#REF!</v>
      </c>
      <c r="HO51" t="e">
        <f>AND(#REF!,"AAAAAF//q94=")</f>
        <v>#REF!</v>
      </c>
      <c r="HP51" t="e">
        <f>AND(#REF!,"AAAAAF//q98=")</f>
        <v>#REF!</v>
      </c>
      <c r="HQ51" t="e">
        <f>AND(#REF!,"AAAAAF//q+A=")</f>
        <v>#REF!</v>
      </c>
      <c r="HR51" t="e">
        <f>AND(#REF!,"AAAAAF//q+E=")</f>
        <v>#REF!</v>
      </c>
      <c r="HS51" t="e">
        <f>AND(#REF!,"AAAAAF//q+I=")</f>
        <v>#REF!</v>
      </c>
      <c r="HT51" t="e">
        <f>AND(#REF!,"AAAAAF//q+M=")</f>
        <v>#REF!</v>
      </c>
      <c r="HU51" t="e">
        <f>AND(#REF!,"AAAAAF//q+Q=")</f>
        <v>#REF!</v>
      </c>
      <c r="HV51" t="e">
        <f>AND(#REF!,"AAAAAF//q+U=")</f>
        <v>#REF!</v>
      </c>
      <c r="HW51" t="e">
        <f>AND(#REF!,"AAAAAF//q+Y=")</f>
        <v>#REF!</v>
      </c>
      <c r="HX51" t="e">
        <f>AND(#REF!,"AAAAAF//q+c=")</f>
        <v>#REF!</v>
      </c>
      <c r="HY51" t="e">
        <f>IF(#REF!,"AAAAAF//q+g=",0)</f>
        <v>#REF!</v>
      </c>
      <c r="HZ51" t="e">
        <f>AND(#REF!,"AAAAAF//q+k=")</f>
        <v>#REF!</v>
      </c>
      <c r="IA51" t="e">
        <f>AND(#REF!,"AAAAAF//q+o=")</f>
        <v>#REF!</v>
      </c>
      <c r="IB51" t="e">
        <f>AND(#REF!,"AAAAAF//q+s=")</f>
        <v>#REF!</v>
      </c>
      <c r="IC51" t="e">
        <f>AND(#REF!,"AAAAAF//q+w=")</f>
        <v>#REF!</v>
      </c>
      <c r="ID51" t="e">
        <f>AND(#REF!,"AAAAAF//q+0=")</f>
        <v>#REF!</v>
      </c>
      <c r="IE51" t="e">
        <f>AND(#REF!,"AAAAAF//q+4=")</f>
        <v>#REF!</v>
      </c>
      <c r="IF51" t="e">
        <f>AND(#REF!,"AAAAAF//q+8=")</f>
        <v>#REF!</v>
      </c>
      <c r="IG51" t="e">
        <f>AND(#REF!,"AAAAAF//q/A=")</f>
        <v>#REF!</v>
      </c>
      <c r="IH51" t="e">
        <f>AND(#REF!,"AAAAAF//q/E=")</f>
        <v>#REF!</v>
      </c>
      <c r="II51" t="e">
        <f>AND(#REF!,"AAAAAF//q/I=")</f>
        <v>#REF!</v>
      </c>
      <c r="IJ51" t="e">
        <f>AND(#REF!,"AAAAAF//q/M=")</f>
        <v>#REF!</v>
      </c>
      <c r="IK51" t="e">
        <f>AND(#REF!,"AAAAAF//q/Q=")</f>
        <v>#REF!</v>
      </c>
      <c r="IL51" t="e">
        <f>AND(#REF!,"AAAAAF//q/U=")</f>
        <v>#REF!</v>
      </c>
      <c r="IM51" t="e">
        <f>AND(#REF!,"AAAAAF//q/Y=")</f>
        <v>#REF!</v>
      </c>
      <c r="IN51" t="e">
        <f>AND(#REF!,"AAAAAF//q/c=")</f>
        <v>#REF!</v>
      </c>
      <c r="IO51" t="e">
        <f>AND(#REF!,"AAAAAF//q/g=")</f>
        <v>#REF!</v>
      </c>
      <c r="IP51" t="e">
        <f>AND(#REF!,"AAAAAF//q/k=")</f>
        <v>#REF!</v>
      </c>
      <c r="IQ51" t="e">
        <f>AND(#REF!,"AAAAAF//q/o=")</f>
        <v>#REF!</v>
      </c>
      <c r="IR51" t="e">
        <f>AND(#REF!,"AAAAAF//q/s=")</f>
        <v>#REF!</v>
      </c>
      <c r="IS51" t="e">
        <f>AND(#REF!,"AAAAAF//q/w=")</f>
        <v>#REF!</v>
      </c>
      <c r="IT51" t="e">
        <f>AND(#REF!,"AAAAAF//q/0=")</f>
        <v>#REF!</v>
      </c>
      <c r="IU51" t="e">
        <f>AND(#REF!,"AAAAAF//q/4=")</f>
        <v>#REF!</v>
      </c>
      <c r="IV51" t="e">
        <f>AND(#REF!,"AAAAAF//q/8=")</f>
        <v>#REF!</v>
      </c>
    </row>
    <row r="52" spans="1:256" x14ac:dyDescent="0.2">
      <c r="A52" t="e">
        <f>AND(#REF!,"AAAAAHS/tAA=")</f>
        <v>#REF!</v>
      </c>
      <c r="B52" t="e">
        <f>AND(#REF!,"AAAAAHS/tAE=")</f>
        <v>#REF!</v>
      </c>
      <c r="C52" t="e">
        <f>AND(#REF!,"AAAAAHS/tAI=")</f>
        <v>#REF!</v>
      </c>
      <c r="D52" t="e">
        <f>IF(#REF!,"AAAAAHS/tAM=",0)</f>
        <v>#REF!</v>
      </c>
      <c r="E52" t="e">
        <f>AND(#REF!,"AAAAAHS/tAQ=")</f>
        <v>#REF!</v>
      </c>
      <c r="F52" t="e">
        <f>AND(#REF!,"AAAAAHS/tAU=")</f>
        <v>#REF!</v>
      </c>
      <c r="G52" t="e">
        <f>AND(#REF!,"AAAAAHS/tAY=")</f>
        <v>#REF!</v>
      </c>
      <c r="H52" t="e">
        <f>AND(#REF!,"AAAAAHS/tAc=")</f>
        <v>#REF!</v>
      </c>
      <c r="I52" t="e">
        <f>AND(#REF!,"AAAAAHS/tAg=")</f>
        <v>#REF!</v>
      </c>
      <c r="J52" t="e">
        <f>AND(#REF!,"AAAAAHS/tAk=")</f>
        <v>#REF!</v>
      </c>
      <c r="K52" t="e">
        <f>AND(#REF!,"AAAAAHS/tAo=")</f>
        <v>#REF!</v>
      </c>
      <c r="L52" t="e">
        <f>AND(#REF!,"AAAAAHS/tAs=")</f>
        <v>#REF!</v>
      </c>
      <c r="M52" t="e">
        <f>AND(#REF!,"AAAAAHS/tAw=")</f>
        <v>#REF!</v>
      </c>
      <c r="N52" t="e">
        <f>AND(#REF!,"AAAAAHS/tA0=")</f>
        <v>#REF!</v>
      </c>
      <c r="O52" t="e">
        <f>AND(#REF!,"AAAAAHS/tA4=")</f>
        <v>#REF!</v>
      </c>
      <c r="P52" t="e">
        <f>AND(#REF!,"AAAAAHS/tA8=")</f>
        <v>#REF!</v>
      </c>
      <c r="Q52" t="e">
        <f>AND(#REF!,"AAAAAHS/tBA=")</f>
        <v>#REF!</v>
      </c>
      <c r="R52" t="e">
        <f>AND(#REF!,"AAAAAHS/tBE=")</f>
        <v>#REF!</v>
      </c>
      <c r="S52" t="e">
        <f>AND(#REF!,"AAAAAHS/tBI=")</f>
        <v>#REF!</v>
      </c>
      <c r="T52" t="e">
        <f>AND(#REF!,"AAAAAHS/tBM=")</f>
        <v>#REF!</v>
      </c>
      <c r="U52" t="e">
        <f>AND(#REF!,"AAAAAHS/tBQ=")</f>
        <v>#REF!</v>
      </c>
      <c r="V52" t="e">
        <f>AND(#REF!,"AAAAAHS/tBU=")</f>
        <v>#REF!</v>
      </c>
      <c r="W52" t="e">
        <f>AND(#REF!,"AAAAAHS/tBY=")</f>
        <v>#REF!</v>
      </c>
      <c r="X52" t="e">
        <f>AND(#REF!,"AAAAAHS/tBc=")</f>
        <v>#REF!</v>
      </c>
      <c r="Y52" t="e">
        <f>AND(#REF!,"AAAAAHS/tBg=")</f>
        <v>#REF!</v>
      </c>
      <c r="Z52" t="e">
        <f>AND(#REF!,"AAAAAHS/tBk=")</f>
        <v>#REF!</v>
      </c>
      <c r="AA52" t="e">
        <f>AND(#REF!,"AAAAAHS/tBo=")</f>
        <v>#REF!</v>
      </c>
      <c r="AB52" t="e">
        <f>AND(#REF!,"AAAAAHS/tBs=")</f>
        <v>#REF!</v>
      </c>
      <c r="AC52" t="e">
        <f>AND(#REF!,"AAAAAHS/tBw=")</f>
        <v>#REF!</v>
      </c>
      <c r="AD52" t="e">
        <f>AND(#REF!,"AAAAAHS/tB0=")</f>
        <v>#REF!</v>
      </c>
      <c r="AE52" t="e">
        <f>IF(#REF!,"AAAAAHS/tB4=",0)</f>
        <v>#REF!</v>
      </c>
      <c r="AF52" t="e">
        <f>AND(#REF!,"AAAAAHS/tB8=")</f>
        <v>#REF!</v>
      </c>
      <c r="AG52" t="e">
        <f>AND(#REF!,"AAAAAHS/tCA=")</f>
        <v>#REF!</v>
      </c>
      <c r="AH52" t="e">
        <f>AND(#REF!,"AAAAAHS/tCE=")</f>
        <v>#REF!</v>
      </c>
      <c r="AI52" t="e">
        <f>AND(#REF!,"AAAAAHS/tCI=")</f>
        <v>#REF!</v>
      </c>
      <c r="AJ52" t="e">
        <f>AND(#REF!,"AAAAAHS/tCM=")</f>
        <v>#REF!</v>
      </c>
      <c r="AK52" t="e">
        <f>AND(#REF!,"AAAAAHS/tCQ=")</f>
        <v>#REF!</v>
      </c>
      <c r="AL52" t="e">
        <f>AND(#REF!,"AAAAAHS/tCU=")</f>
        <v>#REF!</v>
      </c>
      <c r="AM52" t="e">
        <f>AND(#REF!,"AAAAAHS/tCY=")</f>
        <v>#REF!</v>
      </c>
      <c r="AN52" t="e">
        <f>AND(#REF!,"AAAAAHS/tCc=")</f>
        <v>#REF!</v>
      </c>
      <c r="AO52" t="e">
        <f>AND(#REF!,"AAAAAHS/tCg=")</f>
        <v>#REF!</v>
      </c>
      <c r="AP52" t="e">
        <f>AND(#REF!,"AAAAAHS/tCk=")</f>
        <v>#REF!</v>
      </c>
      <c r="AQ52" t="e">
        <f>AND(#REF!,"AAAAAHS/tCo=")</f>
        <v>#REF!</v>
      </c>
      <c r="AR52" t="e">
        <f>AND(#REF!,"AAAAAHS/tCs=")</f>
        <v>#REF!</v>
      </c>
      <c r="AS52" t="e">
        <f>AND(#REF!,"AAAAAHS/tCw=")</f>
        <v>#REF!</v>
      </c>
      <c r="AT52" t="e">
        <f>AND(#REF!,"AAAAAHS/tC0=")</f>
        <v>#REF!</v>
      </c>
      <c r="AU52" t="e">
        <f>AND(#REF!,"AAAAAHS/tC4=")</f>
        <v>#REF!</v>
      </c>
      <c r="AV52" t="e">
        <f>AND(#REF!,"AAAAAHS/tC8=")</f>
        <v>#REF!</v>
      </c>
      <c r="AW52" t="e">
        <f>AND(#REF!,"AAAAAHS/tDA=")</f>
        <v>#REF!</v>
      </c>
      <c r="AX52" t="e">
        <f>AND(#REF!,"AAAAAHS/tDE=")</f>
        <v>#REF!</v>
      </c>
      <c r="AY52" t="e">
        <f>AND(#REF!,"AAAAAHS/tDI=")</f>
        <v>#REF!</v>
      </c>
      <c r="AZ52" t="e">
        <f>AND(#REF!,"AAAAAHS/tDM=")</f>
        <v>#REF!</v>
      </c>
      <c r="BA52" t="e">
        <f>AND(#REF!,"AAAAAHS/tDQ=")</f>
        <v>#REF!</v>
      </c>
      <c r="BB52" t="e">
        <f>AND(#REF!,"AAAAAHS/tDU=")</f>
        <v>#REF!</v>
      </c>
      <c r="BC52" t="e">
        <f>AND(#REF!,"AAAAAHS/tDY=")</f>
        <v>#REF!</v>
      </c>
      <c r="BD52" t="e">
        <f>AND(#REF!,"AAAAAHS/tDc=")</f>
        <v>#REF!</v>
      </c>
      <c r="BE52" t="e">
        <f>AND(#REF!,"AAAAAHS/tDg=")</f>
        <v>#REF!</v>
      </c>
      <c r="BF52" t="e">
        <f>IF(#REF!,"AAAAAHS/tDk=",0)</f>
        <v>#REF!</v>
      </c>
      <c r="BG52" t="e">
        <f>AND(#REF!,"AAAAAHS/tDo=")</f>
        <v>#REF!</v>
      </c>
      <c r="BH52" t="e">
        <f>AND(#REF!,"AAAAAHS/tDs=")</f>
        <v>#REF!</v>
      </c>
      <c r="BI52" t="e">
        <f>AND(#REF!,"AAAAAHS/tDw=")</f>
        <v>#REF!</v>
      </c>
      <c r="BJ52" t="e">
        <f>AND(#REF!,"AAAAAHS/tD0=")</f>
        <v>#REF!</v>
      </c>
      <c r="BK52" t="e">
        <f>AND(#REF!,"AAAAAHS/tD4=")</f>
        <v>#REF!</v>
      </c>
      <c r="BL52" t="e">
        <f>AND(#REF!,"AAAAAHS/tD8=")</f>
        <v>#REF!</v>
      </c>
      <c r="BM52" t="e">
        <f>AND(#REF!,"AAAAAHS/tEA=")</f>
        <v>#REF!</v>
      </c>
      <c r="BN52" t="e">
        <f>AND(#REF!,"AAAAAHS/tEE=")</f>
        <v>#REF!</v>
      </c>
      <c r="BO52" t="e">
        <f>AND(#REF!,"AAAAAHS/tEI=")</f>
        <v>#REF!</v>
      </c>
      <c r="BP52" t="e">
        <f>AND(#REF!,"AAAAAHS/tEM=")</f>
        <v>#REF!</v>
      </c>
      <c r="BQ52" t="e">
        <f>AND(#REF!,"AAAAAHS/tEQ=")</f>
        <v>#REF!</v>
      </c>
      <c r="BR52" t="e">
        <f>AND(#REF!,"AAAAAHS/tEU=")</f>
        <v>#REF!</v>
      </c>
      <c r="BS52" t="e">
        <f>AND(#REF!,"AAAAAHS/tEY=")</f>
        <v>#REF!</v>
      </c>
      <c r="BT52" t="e">
        <f>AND(#REF!,"AAAAAHS/tEc=")</f>
        <v>#REF!</v>
      </c>
      <c r="BU52" t="e">
        <f>AND(#REF!,"AAAAAHS/tEg=")</f>
        <v>#REF!</v>
      </c>
      <c r="BV52" t="e">
        <f>AND(#REF!,"AAAAAHS/tEk=")</f>
        <v>#REF!</v>
      </c>
      <c r="BW52" t="e">
        <f>AND(#REF!,"AAAAAHS/tEo=")</f>
        <v>#REF!</v>
      </c>
      <c r="BX52" t="e">
        <f>AND(#REF!,"AAAAAHS/tEs=")</f>
        <v>#REF!</v>
      </c>
      <c r="BY52" t="e">
        <f>AND(#REF!,"AAAAAHS/tEw=")</f>
        <v>#REF!</v>
      </c>
      <c r="BZ52" t="e">
        <f>AND(#REF!,"AAAAAHS/tE0=")</f>
        <v>#REF!</v>
      </c>
      <c r="CA52" t="e">
        <f>AND(#REF!,"AAAAAHS/tE4=")</f>
        <v>#REF!</v>
      </c>
      <c r="CB52" t="e">
        <f>AND(#REF!,"AAAAAHS/tE8=")</f>
        <v>#REF!</v>
      </c>
      <c r="CC52" t="e">
        <f>AND(#REF!,"AAAAAHS/tFA=")</f>
        <v>#REF!</v>
      </c>
      <c r="CD52" t="e">
        <f>AND(#REF!,"AAAAAHS/tFE=")</f>
        <v>#REF!</v>
      </c>
      <c r="CE52" t="e">
        <f>AND(#REF!,"AAAAAHS/tFI=")</f>
        <v>#REF!</v>
      </c>
      <c r="CF52" t="e">
        <f>AND(#REF!,"AAAAAHS/tFM=")</f>
        <v>#REF!</v>
      </c>
      <c r="CG52" t="e">
        <f>IF(#REF!,"AAAAAHS/tFQ=",0)</f>
        <v>#REF!</v>
      </c>
      <c r="CH52" t="e">
        <f>AND(#REF!,"AAAAAHS/tFU=")</f>
        <v>#REF!</v>
      </c>
      <c r="CI52" t="e">
        <f>AND(#REF!,"AAAAAHS/tFY=")</f>
        <v>#REF!</v>
      </c>
      <c r="CJ52" t="e">
        <f>AND(#REF!,"AAAAAHS/tFc=")</f>
        <v>#REF!</v>
      </c>
      <c r="CK52" t="e">
        <f>AND(#REF!,"AAAAAHS/tFg=")</f>
        <v>#REF!</v>
      </c>
      <c r="CL52" t="e">
        <f>AND(#REF!,"AAAAAHS/tFk=")</f>
        <v>#REF!</v>
      </c>
      <c r="CM52" t="e">
        <f>AND(#REF!,"AAAAAHS/tFo=")</f>
        <v>#REF!</v>
      </c>
      <c r="CN52" t="e">
        <f>AND(#REF!,"AAAAAHS/tFs=")</f>
        <v>#REF!</v>
      </c>
      <c r="CO52" t="e">
        <f>AND(#REF!,"AAAAAHS/tFw=")</f>
        <v>#REF!</v>
      </c>
      <c r="CP52" t="e">
        <f>AND(#REF!,"AAAAAHS/tF0=")</f>
        <v>#REF!</v>
      </c>
      <c r="CQ52" t="e">
        <f>AND(#REF!,"AAAAAHS/tF4=")</f>
        <v>#REF!</v>
      </c>
      <c r="CR52" t="e">
        <f>AND(#REF!,"AAAAAHS/tF8=")</f>
        <v>#REF!</v>
      </c>
      <c r="CS52" t="e">
        <f>AND(#REF!,"AAAAAHS/tGA=")</f>
        <v>#REF!</v>
      </c>
      <c r="CT52" t="e">
        <f>AND(#REF!,"AAAAAHS/tGE=")</f>
        <v>#REF!</v>
      </c>
      <c r="CU52" t="e">
        <f>AND(#REF!,"AAAAAHS/tGI=")</f>
        <v>#REF!</v>
      </c>
      <c r="CV52" t="e">
        <f>AND(#REF!,"AAAAAHS/tGM=")</f>
        <v>#REF!</v>
      </c>
      <c r="CW52" t="e">
        <f>AND(#REF!,"AAAAAHS/tGQ=")</f>
        <v>#REF!</v>
      </c>
      <c r="CX52" t="e">
        <f>AND(#REF!,"AAAAAHS/tGU=")</f>
        <v>#REF!</v>
      </c>
      <c r="CY52" t="e">
        <f>AND(#REF!,"AAAAAHS/tGY=")</f>
        <v>#REF!</v>
      </c>
      <c r="CZ52" t="e">
        <f>AND(#REF!,"AAAAAHS/tGc=")</f>
        <v>#REF!</v>
      </c>
      <c r="DA52" t="e">
        <f>AND(#REF!,"AAAAAHS/tGg=")</f>
        <v>#REF!</v>
      </c>
      <c r="DB52" t="e">
        <f>AND(#REF!,"AAAAAHS/tGk=")</f>
        <v>#REF!</v>
      </c>
      <c r="DC52" t="e">
        <f>AND(#REF!,"AAAAAHS/tGo=")</f>
        <v>#REF!</v>
      </c>
      <c r="DD52" t="e">
        <f>AND(#REF!,"AAAAAHS/tGs=")</f>
        <v>#REF!</v>
      </c>
      <c r="DE52" t="e">
        <f>AND(#REF!,"AAAAAHS/tGw=")</f>
        <v>#REF!</v>
      </c>
      <c r="DF52" t="e">
        <f>AND(#REF!,"AAAAAHS/tG0=")</f>
        <v>#REF!</v>
      </c>
      <c r="DG52" t="e">
        <f>AND(#REF!,"AAAAAHS/tG4=")</f>
        <v>#REF!</v>
      </c>
      <c r="DH52" t="e">
        <f>IF(#REF!,"AAAAAHS/tG8=",0)</f>
        <v>#REF!</v>
      </c>
      <c r="DI52" t="e">
        <f>AND(#REF!,"AAAAAHS/tHA=")</f>
        <v>#REF!</v>
      </c>
      <c r="DJ52" t="e">
        <f>AND(#REF!,"AAAAAHS/tHE=")</f>
        <v>#REF!</v>
      </c>
      <c r="DK52" t="e">
        <f>AND(#REF!,"AAAAAHS/tHI=")</f>
        <v>#REF!</v>
      </c>
      <c r="DL52" t="e">
        <f>AND(#REF!,"AAAAAHS/tHM=")</f>
        <v>#REF!</v>
      </c>
      <c r="DM52" t="e">
        <f>AND(#REF!,"AAAAAHS/tHQ=")</f>
        <v>#REF!</v>
      </c>
      <c r="DN52" t="e">
        <f>AND(#REF!,"AAAAAHS/tHU=")</f>
        <v>#REF!</v>
      </c>
      <c r="DO52" t="e">
        <f>AND(#REF!,"AAAAAHS/tHY=")</f>
        <v>#REF!</v>
      </c>
      <c r="DP52" t="e">
        <f>AND(#REF!,"AAAAAHS/tHc=")</f>
        <v>#REF!</v>
      </c>
      <c r="DQ52" t="e">
        <f>AND(#REF!,"AAAAAHS/tHg=")</f>
        <v>#REF!</v>
      </c>
      <c r="DR52" t="e">
        <f>AND(#REF!,"AAAAAHS/tHk=")</f>
        <v>#REF!</v>
      </c>
      <c r="DS52" t="e">
        <f>AND(#REF!,"AAAAAHS/tHo=")</f>
        <v>#REF!</v>
      </c>
      <c r="DT52" t="e">
        <f>AND(#REF!,"AAAAAHS/tHs=")</f>
        <v>#REF!</v>
      </c>
      <c r="DU52" t="e">
        <f>AND(#REF!,"AAAAAHS/tHw=")</f>
        <v>#REF!</v>
      </c>
      <c r="DV52" t="e">
        <f>AND(#REF!,"AAAAAHS/tH0=")</f>
        <v>#REF!</v>
      </c>
      <c r="DW52" t="e">
        <f>AND(#REF!,"AAAAAHS/tH4=")</f>
        <v>#REF!</v>
      </c>
      <c r="DX52" t="e">
        <f>AND(#REF!,"AAAAAHS/tH8=")</f>
        <v>#REF!</v>
      </c>
      <c r="DY52" t="e">
        <f>AND(#REF!,"AAAAAHS/tIA=")</f>
        <v>#REF!</v>
      </c>
      <c r="DZ52" t="e">
        <f>AND(#REF!,"AAAAAHS/tIE=")</f>
        <v>#REF!</v>
      </c>
      <c r="EA52" t="e">
        <f>AND(#REF!,"AAAAAHS/tII=")</f>
        <v>#REF!</v>
      </c>
      <c r="EB52" t="e">
        <f>AND(#REF!,"AAAAAHS/tIM=")</f>
        <v>#REF!</v>
      </c>
      <c r="EC52" t="e">
        <f>AND(#REF!,"AAAAAHS/tIQ=")</f>
        <v>#REF!</v>
      </c>
      <c r="ED52" t="e">
        <f>AND(#REF!,"AAAAAHS/tIU=")</f>
        <v>#REF!</v>
      </c>
      <c r="EE52" t="e">
        <f>AND(#REF!,"AAAAAHS/tIY=")</f>
        <v>#REF!</v>
      </c>
      <c r="EF52" t="e">
        <f>AND(#REF!,"AAAAAHS/tIc=")</f>
        <v>#REF!</v>
      </c>
      <c r="EG52" t="e">
        <f>AND(#REF!,"AAAAAHS/tIg=")</f>
        <v>#REF!</v>
      </c>
      <c r="EH52" t="e">
        <f>AND(#REF!,"AAAAAHS/tIk=")</f>
        <v>#REF!</v>
      </c>
      <c r="EI52" t="e">
        <f>IF(#REF!,"AAAAAHS/tIo=",0)</f>
        <v>#REF!</v>
      </c>
      <c r="EJ52" t="e">
        <f>AND(#REF!,"AAAAAHS/tIs=")</f>
        <v>#REF!</v>
      </c>
      <c r="EK52" t="e">
        <f>AND(#REF!,"AAAAAHS/tIw=")</f>
        <v>#REF!</v>
      </c>
      <c r="EL52" t="e">
        <f>AND(#REF!,"AAAAAHS/tI0=")</f>
        <v>#REF!</v>
      </c>
      <c r="EM52" t="e">
        <f>AND(#REF!,"AAAAAHS/tI4=")</f>
        <v>#REF!</v>
      </c>
      <c r="EN52" t="e">
        <f>AND(#REF!,"AAAAAHS/tI8=")</f>
        <v>#REF!</v>
      </c>
      <c r="EO52" t="e">
        <f>AND(#REF!,"AAAAAHS/tJA=")</f>
        <v>#REF!</v>
      </c>
      <c r="EP52" t="e">
        <f>AND(#REF!,"AAAAAHS/tJE=")</f>
        <v>#REF!</v>
      </c>
      <c r="EQ52" t="e">
        <f>AND(#REF!,"AAAAAHS/tJI=")</f>
        <v>#REF!</v>
      </c>
      <c r="ER52" t="e">
        <f>AND(#REF!,"AAAAAHS/tJM=")</f>
        <v>#REF!</v>
      </c>
      <c r="ES52" t="e">
        <f>AND(#REF!,"AAAAAHS/tJQ=")</f>
        <v>#REF!</v>
      </c>
      <c r="ET52" t="e">
        <f>AND(#REF!,"AAAAAHS/tJU=")</f>
        <v>#REF!</v>
      </c>
      <c r="EU52" t="e">
        <f>AND(#REF!,"AAAAAHS/tJY=")</f>
        <v>#REF!</v>
      </c>
      <c r="EV52" t="e">
        <f>AND(#REF!,"AAAAAHS/tJc=")</f>
        <v>#REF!</v>
      </c>
      <c r="EW52" t="e">
        <f>AND(#REF!,"AAAAAHS/tJg=")</f>
        <v>#REF!</v>
      </c>
      <c r="EX52" t="e">
        <f>AND(#REF!,"AAAAAHS/tJk=")</f>
        <v>#REF!</v>
      </c>
      <c r="EY52" t="e">
        <f>AND(#REF!,"AAAAAHS/tJo=")</f>
        <v>#REF!</v>
      </c>
      <c r="EZ52" t="e">
        <f>AND(#REF!,"AAAAAHS/tJs=")</f>
        <v>#REF!</v>
      </c>
      <c r="FA52" t="e">
        <f>AND(#REF!,"AAAAAHS/tJw=")</f>
        <v>#REF!</v>
      </c>
      <c r="FB52" t="e">
        <f>AND(#REF!,"AAAAAHS/tJ0=")</f>
        <v>#REF!</v>
      </c>
      <c r="FC52" t="e">
        <f>AND(#REF!,"AAAAAHS/tJ4=")</f>
        <v>#REF!</v>
      </c>
      <c r="FD52" t="e">
        <f>AND(#REF!,"AAAAAHS/tJ8=")</f>
        <v>#REF!</v>
      </c>
      <c r="FE52" t="e">
        <f>AND(#REF!,"AAAAAHS/tKA=")</f>
        <v>#REF!</v>
      </c>
      <c r="FF52" t="e">
        <f>AND(#REF!,"AAAAAHS/tKE=")</f>
        <v>#REF!</v>
      </c>
      <c r="FG52" t="e">
        <f>AND(#REF!,"AAAAAHS/tKI=")</f>
        <v>#REF!</v>
      </c>
      <c r="FH52" t="e">
        <f>AND(#REF!,"AAAAAHS/tKM=")</f>
        <v>#REF!</v>
      </c>
      <c r="FI52" t="e">
        <f>AND(#REF!,"AAAAAHS/tKQ=")</f>
        <v>#REF!</v>
      </c>
      <c r="FJ52" t="e">
        <f>IF(#REF!,"AAAAAHS/tKU=",0)</f>
        <v>#REF!</v>
      </c>
      <c r="FK52" t="e">
        <f>AND(#REF!,"AAAAAHS/tKY=")</f>
        <v>#REF!</v>
      </c>
      <c r="FL52" t="e">
        <f>AND(#REF!,"AAAAAHS/tKc=")</f>
        <v>#REF!</v>
      </c>
      <c r="FM52" t="e">
        <f>AND(#REF!,"AAAAAHS/tKg=")</f>
        <v>#REF!</v>
      </c>
      <c r="FN52" t="e">
        <f>AND(#REF!,"AAAAAHS/tKk=")</f>
        <v>#REF!</v>
      </c>
      <c r="FO52" t="e">
        <f>AND(#REF!,"AAAAAHS/tKo=")</f>
        <v>#REF!</v>
      </c>
      <c r="FP52" t="e">
        <f>AND(#REF!,"AAAAAHS/tKs=")</f>
        <v>#REF!</v>
      </c>
      <c r="FQ52" t="e">
        <f>AND(#REF!,"AAAAAHS/tKw=")</f>
        <v>#REF!</v>
      </c>
      <c r="FR52" t="e">
        <f>AND(#REF!,"AAAAAHS/tK0=")</f>
        <v>#REF!</v>
      </c>
      <c r="FS52" t="e">
        <f>AND(#REF!,"AAAAAHS/tK4=")</f>
        <v>#REF!</v>
      </c>
      <c r="FT52" t="e">
        <f>AND(#REF!,"AAAAAHS/tK8=")</f>
        <v>#REF!</v>
      </c>
      <c r="FU52" t="e">
        <f>AND(#REF!,"AAAAAHS/tLA=")</f>
        <v>#REF!</v>
      </c>
      <c r="FV52" t="e">
        <f>AND(#REF!,"AAAAAHS/tLE=")</f>
        <v>#REF!</v>
      </c>
      <c r="FW52" t="e">
        <f>AND(#REF!,"AAAAAHS/tLI=")</f>
        <v>#REF!</v>
      </c>
      <c r="FX52" t="e">
        <f>AND(#REF!,"AAAAAHS/tLM=")</f>
        <v>#REF!</v>
      </c>
      <c r="FY52" t="e">
        <f>AND(#REF!,"AAAAAHS/tLQ=")</f>
        <v>#REF!</v>
      </c>
      <c r="FZ52" t="e">
        <f>AND(#REF!,"AAAAAHS/tLU=")</f>
        <v>#REF!</v>
      </c>
      <c r="GA52" t="e">
        <f>AND(#REF!,"AAAAAHS/tLY=")</f>
        <v>#REF!</v>
      </c>
      <c r="GB52" t="e">
        <f>AND(#REF!,"AAAAAHS/tLc=")</f>
        <v>#REF!</v>
      </c>
      <c r="GC52" t="e">
        <f>AND(#REF!,"AAAAAHS/tLg=")</f>
        <v>#REF!</v>
      </c>
      <c r="GD52" t="e">
        <f>AND(#REF!,"AAAAAHS/tLk=")</f>
        <v>#REF!</v>
      </c>
      <c r="GE52" t="e">
        <f>AND(#REF!,"AAAAAHS/tLo=")</f>
        <v>#REF!</v>
      </c>
      <c r="GF52" t="e">
        <f>AND(#REF!,"AAAAAHS/tLs=")</f>
        <v>#REF!</v>
      </c>
      <c r="GG52" t="e">
        <f>AND(#REF!,"AAAAAHS/tLw=")</f>
        <v>#REF!</v>
      </c>
      <c r="GH52" t="e">
        <f>AND(#REF!,"AAAAAHS/tL0=")</f>
        <v>#REF!</v>
      </c>
      <c r="GI52" t="e">
        <f>AND(#REF!,"AAAAAHS/tL4=")</f>
        <v>#REF!</v>
      </c>
      <c r="GJ52" t="e">
        <f>AND(#REF!,"AAAAAHS/tL8=")</f>
        <v>#REF!</v>
      </c>
      <c r="GK52" t="e">
        <f>IF(#REF!,"AAAAAHS/tMA=",0)</f>
        <v>#REF!</v>
      </c>
      <c r="GL52" t="e">
        <f>AND(#REF!,"AAAAAHS/tME=")</f>
        <v>#REF!</v>
      </c>
      <c r="GM52" t="e">
        <f>AND(#REF!,"AAAAAHS/tMI=")</f>
        <v>#REF!</v>
      </c>
      <c r="GN52" t="e">
        <f>AND(#REF!,"AAAAAHS/tMM=")</f>
        <v>#REF!</v>
      </c>
      <c r="GO52" t="e">
        <f>AND(#REF!,"AAAAAHS/tMQ=")</f>
        <v>#REF!</v>
      </c>
      <c r="GP52" t="e">
        <f>AND(#REF!,"AAAAAHS/tMU=")</f>
        <v>#REF!</v>
      </c>
      <c r="GQ52" t="e">
        <f>AND(#REF!,"AAAAAHS/tMY=")</f>
        <v>#REF!</v>
      </c>
      <c r="GR52" t="e">
        <f>AND(#REF!,"AAAAAHS/tMc=")</f>
        <v>#REF!</v>
      </c>
      <c r="GS52" t="e">
        <f>AND(#REF!,"AAAAAHS/tMg=")</f>
        <v>#REF!</v>
      </c>
      <c r="GT52" t="e">
        <f>AND(#REF!,"AAAAAHS/tMk=")</f>
        <v>#REF!</v>
      </c>
      <c r="GU52" t="e">
        <f>AND(#REF!,"AAAAAHS/tMo=")</f>
        <v>#REF!</v>
      </c>
      <c r="GV52" t="e">
        <f>AND(#REF!,"AAAAAHS/tMs=")</f>
        <v>#REF!</v>
      </c>
      <c r="GW52" t="e">
        <f>AND(#REF!,"AAAAAHS/tMw=")</f>
        <v>#REF!</v>
      </c>
      <c r="GX52" t="e">
        <f>AND(#REF!,"AAAAAHS/tM0=")</f>
        <v>#REF!</v>
      </c>
      <c r="GY52" t="e">
        <f>AND(#REF!,"AAAAAHS/tM4=")</f>
        <v>#REF!</v>
      </c>
      <c r="GZ52" t="e">
        <f>AND(#REF!,"AAAAAHS/tM8=")</f>
        <v>#REF!</v>
      </c>
      <c r="HA52" t="e">
        <f>AND(#REF!,"AAAAAHS/tNA=")</f>
        <v>#REF!</v>
      </c>
      <c r="HB52" t="e">
        <f>AND(#REF!,"AAAAAHS/tNE=")</f>
        <v>#REF!</v>
      </c>
      <c r="HC52" t="e">
        <f>AND(#REF!,"AAAAAHS/tNI=")</f>
        <v>#REF!</v>
      </c>
      <c r="HD52" t="e">
        <f>AND(#REF!,"AAAAAHS/tNM=")</f>
        <v>#REF!</v>
      </c>
      <c r="HE52" t="e">
        <f>AND(#REF!,"AAAAAHS/tNQ=")</f>
        <v>#REF!</v>
      </c>
      <c r="HF52" t="e">
        <f>AND(#REF!,"AAAAAHS/tNU=")</f>
        <v>#REF!</v>
      </c>
      <c r="HG52" t="e">
        <f>AND(#REF!,"AAAAAHS/tNY=")</f>
        <v>#REF!</v>
      </c>
      <c r="HH52" t="e">
        <f>AND(#REF!,"AAAAAHS/tNc=")</f>
        <v>#REF!</v>
      </c>
      <c r="HI52" t="e">
        <f>AND(#REF!,"AAAAAHS/tNg=")</f>
        <v>#REF!</v>
      </c>
      <c r="HJ52" t="e">
        <f>AND(#REF!,"AAAAAHS/tNk=")</f>
        <v>#REF!</v>
      </c>
      <c r="HK52" t="e">
        <f>AND(#REF!,"AAAAAHS/tNo=")</f>
        <v>#REF!</v>
      </c>
      <c r="HL52" t="e">
        <f>IF(#REF!,"AAAAAHS/tNs=",0)</f>
        <v>#REF!</v>
      </c>
      <c r="HM52" t="e">
        <f>AND(#REF!,"AAAAAHS/tNw=")</f>
        <v>#REF!</v>
      </c>
      <c r="HN52" t="e">
        <f>AND(#REF!,"AAAAAHS/tN0=")</f>
        <v>#REF!</v>
      </c>
      <c r="HO52" t="e">
        <f>AND(#REF!,"AAAAAHS/tN4=")</f>
        <v>#REF!</v>
      </c>
      <c r="HP52" t="e">
        <f>AND(#REF!,"AAAAAHS/tN8=")</f>
        <v>#REF!</v>
      </c>
      <c r="HQ52" t="e">
        <f>AND(#REF!,"AAAAAHS/tOA=")</f>
        <v>#REF!</v>
      </c>
      <c r="HR52" t="e">
        <f>AND(#REF!,"AAAAAHS/tOE=")</f>
        <v>#REF!</v>
      </c>
      <c r="HS52" t="e">
        <f>AND(#REF!,"AAAAAHS/tOI=")</f>
        <v>#REF!</v>
      </c>
      <c r="HT52" t="e">
        <f>AND(#REF!,"AAAAAHS/tOM=")</f>
        <v>#REF!</v>
      </c>
      <c r="HU52" t="e">
        <f>AND(#REF!,"AAAAAHS/tOQ=")</f>
        <v>#REF!</v>
      </c>
      <c r="HV52" t="e">
        <f>AND(#REF!,"AAAAAHS/tOU=")</f>
        <v>#REF!</v>
      </c>
      <c r="HW52" t="e">
        <f>AND(#REF!,"AAAAAHS/tOY=")</f>
        <v>#REF!</v>
      </c>
      <c r="HX52" t="e">
        <f>AND(#REF!,"AAAAAHS/tOc=")</f>
        <v>#REF!</v>
      </c>
      <c r="HY52" t="e">
        <f>AND(#REF!,"AAAAAHS/tOg=")</f>
        <v>#REF!</v>
      </c>
      <c r="HZ52" t="e">
        <f>AND(#REF!,"AAAAAHS/tOk=")</f>
        <v>#REF!</v>
      </c>
      <c r="IA52" t="e">
        <f>AND(#REF!,"AAAAAHS/tOo=")</f>
        <v>#REF!</v>
      </c>
      <c r="IB52" t="e">
        <f>AND(#REF!,"AAAAAHS/tOs=")</f>
        <v>#REF!</v>
      </c>
      <c r="IC52" t="e">
        <f>AND(#REF!,"AAAAAHS/tOw=")</f>
        <v>#REF!</v>
      </c>
      <c r="ID52" t="e">
        <f>AND(#REF!,"AAAAAHS/tO0=")</f>
        <v>#REF!</v>
      </c>
      <c r="IE52" t="e">
        <f>AND(#REF!,"AAAAAHS/tO4=")</f>
        <v>#REF!</v>
      </c>
      <c r="IF52" t="e">
        <f>AND(#REF!,"AAAAAHS/tO8=")</f>
        <v>#REF!</v>
      </c>
      <c r="IG52" t="e">
        <f>AND(#REF!,"AAAAAHS/tPA=")</f>
        <v>#REF!</v>
      </c>
      <c r="IH52" t="e">
        <f>AND(#REF!,"AAAAAHS/tPE=")</f>
        <v>#REF!</v>
      </c>
      <c r="II52" t="e">
        <f>AND(#REF!,"AAAAAHS/tPI=")</f>
        <v>#REF!</v>
      </c>
      <c r="IJ52" t="e">
        <f>AND(#REF!,"AAAAAHS/tPM=")</f>
        <v>#REF!</v>
      </c>
      <c r="IK52" t="e">
        <f>AND(#REF!,"AAAAAHS/tPQ=")</f>
        <v>#REF!</v>
      </c>
      <c r="IL52" t="e">
        <f>AND(#REF!,"AAAAAHS/tPU=")</f>
        <v>#REF!</v>
      </c>
      <c r="IM52" t="e">
        <f>IF(#REF!,"AAAAAHS/tPY=",0)</f>
        <v>#REF!</v>
      </c>
      <c r="IN52" t="e">
        <f>AND(#REF!,"AAAAAHS/tPc=")</f>
        <v>#REF!</v>
      </c>
      <c r="IO52" t="e">
        <f>AND(#REF!,"AAAAAHS/tPg=")</f>
        <v>#REF!</v>
      </c>
      <c r="IP52" t="e">
        <f>AND(#REF!,"AAAAAHS/tPk=")</f>
        <v>#REF!</v>
      </c>
      <c r="IQ52" t="e">
        <f>AND(#REF!,"AAAAAHS/tPo=")</f>
        <v>#REF!</v>
      </c>
      <c r="IR52" t="e">
        <f>AND(#REF!,"AAAAAHS/tPs=")</f>
        <v>#REF!</v>
      </c>
      <c r="IS52" t="e">
        <f>AND(#REF!,"AAAAAHS/tPw=")</f>
        <v>#REF!</v>
      </c>
      <c r="IT52" t="e">
        <f>AND(#REF!,"AAAAAHS/tP0=")</f>
        <v>#REF!</v>
      </c>
      <c r="IU52" t="e">
        <f>AND(#REF!,"AAAAAHS/tP4=")</f>
        <v>#REF!</v>
      </c>
      <c r="IV52" t="e">
        <f>AND(#REF!,"AAAAAHS/tP8=")</f>
        <v>#REF!</v>
      </c>
    </row>
    <row r="53" spans="1:256" x14ac:dyDescent="0.2">
      <c r="A53" t="e">
        <f>AND(#REF!,"AAAAAGe/NgA=")</f>
        <v>#REF!</v>
      </c>
      <c r="B53" t="e">
        <f>AND(#REF!,"AAAAAGe/NgE=")</f>
        <v>#REF!</v>
      </c>
      <c r="C53" t="e">
        <f>AND(#REF!,"AAAAAGe/NgI=")</f>
        <v>#REF!</v>
      </c>
      <c r="D53" t="e">
        <f>AND(#REF!,"AAAAAGe/NgM=")</f>
        <v>#REF!</v>
      </c>
      <c r="E53" t="e">
        <f>AND(#REF!,"AAAAAGe/NgQ=")</f>
        <v>#REF!</v>
      </c>
      <c r="F53" t="e">
        <f>AND(#REF!,"AAAAAGe/NgU=")</f>
        <v>#REF!</v>
      </c>
      <c r="G53" t="e">
        <f>AND(#REF!,"AAAAAGe/NgY=")</f>
        <v>#REF!</v>
      </c>
      <c r="H53" t="e">
        <f>AND(#REF!,"AAAAAGe/Ngc=")</f>
        <v>#REF!</v>
      </c>
      <c r="I53" t="e">
        <f>AND(#REF!,"AAAAAGe/Ngg=")</f>
        <v>#REF!</v>
      </c>
      <c r="J53" t="e">
        <f>AND(#REF!,"AAAAAGe/Ngk=")</f>
        <v>#REF!</v>
      </c>
      <c r="K53" t="e">
        <f>AND(#REF!,"AAAAAGe/Ngo=")</f>
        <v>#REF!</v>
      </c>
      <c r="L53" t="e">
        <f>AND(#REF!,"AAAAAGe/Ngs=")</f>
        <v>#REF!</v>
      </c>
      <c r="M53" t="e">
        <f>AND(#REF!,"AAAAAGe/Ngw=")</f>
        <v>#REF!</v>
      </c>
      <c r="N53" t="e">
        <f>AND(#REF!,"AAAAAGe/Ng0=")</f>
        <v>#REF!</v>
      </c>
      <c r="O53" t="e">
        <f>AND(#REF!,"AAAAAGe/Ng4=")</f>
        <v>#REF!</v>
      </c>
      <c r="P53" t="e">
        <f>AND(#REF!,"AAAAAGe/Ng8=")</f>
        <v>#REF!</v>
      </c>
      <c r="Q53" t="e">
        <f>AND(#REF!,"AAAAAGe/NhA=")</f>
        <v>#REF!</v>
      </c>
      <c r="R53" t="e">
        <f>IF(#REF!,"AAAAAGe/NhE=",0)</f>
        <v>#REF!</v>
      </c>
      <c r="S53" t="e">
        <f>AND(#REF!,"AAAAAGe/NhI=")</f>
        <v>#REF!</v>
      </c>
      <c r="T53" t="e">
        <f>AND(#REF!,"AAAAAGe/NhM=")</f>
        <v>#REF!</v>
      </c>
      <c r="U53" t="e">
        <f>AND(#REF!,"AAAAAGe/NhQ=")</f>
        <v>#REF!</v>
      </c>
      <c r="V53" t="e">
        <f>AND(#REF!,"AAAAAGe/NhU=")</f>
        <v>#REF!</v>
      </c>
      <c r="W53" t="e">
        <f>AND(#REF!,"AAAAAGe/NhY=")</f>
        <v>#REF!</v>
      </c>
      <c r="X53" t="e">
        <f>AND(#REF!,"AAAAAGe/Nhc=")</f>
        <v>#REF!</v>
      </c>
      <c r="Y53" t="e">
        <f>AND(#REF!,"AAAAAGe/Nhg=")</f>
        <v>#REF!</v>
      </c>
      <c r="Z53" t="e">
        <f>AND(#REF!,"AAAAAGe/Nhk=")</f>
        <v>#REF!</v>
      </c>
      <c r="AA53" t="e">
        <f>AND(#REF!,"AAAAAGe/Nho=")</f>
        <v>#REF!</v>
      </c>
      <c r="AB53" t="e">
        <f>AND(#REF!,"AAAAAGe/Nhs=")</f>
        <v>#REF!</v>
      </c>
      <c r="AC53" t="e">
        <f>AND(#REF!,"AAAAAGe/Nhw=")</f>
        <v>#REF!</v>
      </c>
      <c r="AD53" t="e">
        <f>AND(#REF!,"AAAAAGe/Nh0=")</f>
        <v>#REF!</v>
      </c>
      <c r="AE53" t="e">
        <f>AND(#REF!,"AAAAAGe/Nh4=")</f>
        <v>#REF!</v>
      </c>
      <c r="AF53" t="e">
        <f>AND(#REF!,"AAAAAGe/Nh8=")</f>
        <v>#REF!</v>
      </c>
      <c r="AG53" t="e">
        <f>AND(#REF!,"AAAAAGe/NiA=")</f>
        <v>#REF!</v>
      </c>
      <c r="AH53" t="e">
        <f>AND(#REF!,"AAAAAGe/NiE=")</f>
        <v>#REF!</v>
      </c>
      <c r="AI53" t="e">
        <f>AND(#REF!,"AAAAAGe/NiI=")</f>
        <v>#REF!</v>
      </c>
      <c r="AJ53" t="e">
        <f>AND(#REF!,"AAAAAGe/NiM=")</f>
        <v>#REF!</v>
      </c>
      <c r="AK53" t="e">
        <f>AND(#REF!,"AAAAAGe/NiQ=")</f>
        <v>#REF!</v>
      </c>
      <c r="AL53" t="e">
        <f>AND(#REF!,"AAAAAGe/NiU=")</f>
        <v>#REF!</v>
      </c>
      <c r="AM53" t="e">
        <f>AND(#REF!,"AAAAAGe/NiY=")</f>
        <v>#REF!</v>
      </c>
      <c r="AN53" t="e">
        <f>AND(#REF!,"AAAAAGe/Nic=")</f>
        <v>#REF!</v>
      </c>
      <c r="AO53" t="e">
        <f>AND(#REF!,"AAAAAGe/Nig=")</f>
        <v>#REF!</v>
      </c>
      <c r="AP53" t="e">
        <f>AND(#REF!,"AAAAAGe/Nik=")</f>
        <v>#REF!</v>
      </c>
      <c r="AQ53" t="e">
        <f>AND(#REF!,"AAAAAGe/Nio=")</f>
        <v>#REF!</v>
      </c>
      <c r="AR53" t="e">
        <f>AND(#REF!,"AAAAAGe/Nis=")</f>
        <v>#REF!</v>
      </c>
      <c r="AS53" t="e">
        <f>IF(#REF!,"AAAAAGe/Niw=",0)</f>
        <v>#REF!</v>
      </c>
      <c r="AT53" t="e">
        <f>AND(#REF!,"AAAAAGe/Ni0=")</f>
        <v>#REF!</v>
      </c>
      <c r="AU53" t="e">
        <f>AND(#REF!,"AAAAAGe/Ni4=")</f>
        <v>#REF!</v>
      </c>
      <c r="AV53" t="e">
        <f>AND(#REF!,"AAAAAGe/Ni8=")</f>
        <v>#REF!</v>
      </c>
      <c r="AW53" t="e">
        <f>AND(#REF!,"AAAAAGe/NjA=")</f>
        <v>#REF!</v>
      </c>
      <c r="AX53" t="e">
        <f>AND(#REF!,"AAAAAGe/NjE=")</f>
        <v>#REF!</v>
      </c>
      <c r="AY53" t="e">
        <f>AND(#REF!,"AAAAAGe/NjI=")</f>
        <v>#REF!</v>
      </c>
      <c r="AZ53" t="e">
        <f>AND(#REF!,"AAAAAGe/NjM=")</f>
        <v>#REF!</v>
      </c>
      <c r="BA53" t="e">
        <f>AND(#REF!,"AAAAAGe/NjQ=")</f>
        <v>#REF!</v>
      </c>
      <c r="BB53" t="e">
        <f>AND(#REF!,"AAAAAGe/NjU=")</f>
        <v>#REF!</v>
      </c>
      <c r="BC53" t="e">
        <f>AND(#REF!,"AAAAAGe/NjY=")</f>
        <v>#REF!</v>
      </c>
      <c r="BD53" t="e">
        <f>AND(#REF!,"AAAAAGe/Njc=")</f>
        <v>#REF!</v>
      </c>
      <c r="BE53" t="e">
        <f>AND(#REF!,"AAAAAGe/Njg=")</f>
        <v>#REF!</v>
      </c>
      <c r="BF53" t="e">
        <f>AND(#REF!,"AAAAAGe/Njk=")</f>
        <v>#REF!</v>
      </c>
      <c r="BG53" t="e">
        <f>AND(#REF!,"AAAAAGe/Njo=")</f>
        <v>#REF!</v>
      </c>
      <c r="BH53" t="e">
        <f>AND(#REF!,"AAAAAGe/Njs=")</f>
        <v>#REF!</v>
      </c>
      <c r="BI53" t="e">
        <f>AND(#REF!,"AAAAAGe/Njw=")</f>
        <v>#REF!</v>
      </c>
      <c r="BJ53" t="e">
        <f>AND(#REF!,"AAAAAGe/Nj0=")</f>
        <v>#REF!</v>
      </c>
      <c r="BK53" t="e">
        <f>AND(#REF!,"AAAAAGe/Nj4=")</f>
        <v>#REF!</v>
      </c>
      <c r="BL53" t="e">
        <f>AND(#REF!,"AAAAAGe/Nj8=")</f>
        <v>#REF!</v>
      </c>
      <c r="BM53" t="e">
        <f>AND(#REF!,"AAAAAGe/NkA=")</f>
        <v>#REF!</v>
      </c>
      <c r="BN53" t="e">
        <f>AND(#REF!,"AAAAAGe/NkE=")</f>
        <v>#REF!</v>
      </c>
      <c r="BO53" t="e">
        <f>AND(#REF!,"AAAAAGe/NkI=")</f>
        <v>#REF!</v>
      </c>
      <c r="BP53" t="e">
        <f>AND(#REF!,"AAAAAGe/NkM=")</f>
        <v>#REF!</v>
      </c>
      <c r="BQ53" t="e">
        <f>AND(#REF!,"AAAAAGe/NkQ=")</f>
        <v>#REF!</v>
      </c>
      <c r="BR53" t="e">
        <f>AND(#REF!,"AAAAAGe/NkU=")</f>
        <v>#REF!</v>
      </c>
      <c r="BS53" t="e">
        <f>AND(#REF!,"AAAAAGe/NkY=")</f>
        <v>#REF!</v>
      </c>
      <c r="BT53" t="e">
        <f>IF(#REF!,"AAAAAGe/Nkc=",0)</f>
        <v>#REF!</v>
      </c>
      <c r="BU53" t="e">
        <f>AND(#REF!,"AAAAAGe/Nkg=")</f>
        <v>#REF!</v>
      </c>
      <c r="BV53" t="e">
        <f>AND(#REF!,"AAAAAGe/Nkk=")</f>
        <v>#REF!</v>
      </c>
      <c r="BW53" t="e">
        <f>AND(#REF!,"AAAAAGe/Nko=")</f>
        <v>#REF!</v>
      </c>
      <c r="BX53" t="e">
        <f>AND(#REF!,"AAAAAGe/Nks=")</f>
        <v>#REF!</v>
      </c>
      <c r="BY53" t="e">
        <f>AND(#REF!,"AAAAAGe/Nkw=")</f>
        <v>#REF!</v>
      </c>
      <c r="BZ53" t="e">
        <f>AND(#REF!,"AAAAAGe/Nk0=")</f>
        <v>#REF!</v>
      </c>
      <c r="CA53" t="e">
        <f>AND(#REF!,"AAAAAGe/Nk4=")</f>
        <v>#REF!</v>
      </c>
      <c r="CB53" t="e">
        <f>AND(#REF!,"AAAAAGe/Nk8=")</f>
        <v>#REF!</v>
      </c>
      <c r="CC53" t="e">
        <f>AND(#REF!,"AAAAAGe/NlA=")</f>
        <v>#REF!</v>
      </c>
      <c r="CD53" t="e">
        <f>AND(#REF!,"AAAAAGe/NlE=")</f>
        <v>#REF!</v>
      </c>
      <c r="CE53" t="e">
        <f>AND(#REF!,"AAAAAGe/NlI=")</f>
        <v>#REF!</v>
      </c>
      <c r="CF53" t="e">
        <f>AND(#REF!,"AAAAAGe/NlM=")</f>
        <v>#REF!</v>
      </c>
      <c r="CG53" t="e">
        <f>AND(#REF!,"AAAAAGe/NlQ=")</f>
        <v>#REF!</v>
      </c>
      <c r="CH53" t="e">
        <f>AND(#REF!,"AAAAAGe/NlU=")</f>
        <v>#REF!</v>
      </c>
      <c r="CI53" t="e">
        <f>AND(#REF!,"AAAAAGe/NlY=")</f>
        <v>#REF!</v>
      </c>
      <c r="CJ53" t="e">
        <f>AND(#REF!,"AAAAAGe/Nlc=")</f>
        <v>#REF!</v>
      </c>
      <c r="CK53" t="e">
        <f>AND(#REF!,"AAAAAGe/Nlg=")</f>
        <v>#REF!</v>
      </c>
      <c r="CL53" t="e">
        <f>AND(#REF!,"AAAAAGe/Nlk=")</f>
        <v>#REF!</v>
      </c>
      <c r="CM53" t="e">
        <f>AND(#REF!,"AAAAAGe/Nlo=")</f>
        <v>#REF!</v>
      </c>
      <c r="CN53" t="e">
        <f>AND(#REF!,"AAAAAGe/Nls=")</f>
        <v>#REF!</v>
      </c>
      <c r="CO53" t="e">
        <f>AND(#REF!,"AAAAAGe/Nlw=")</f>
        <v>#REF!</v>
      </c>
      <c r="CP53" t="e">
        <f>AND(#REF!,"AAAAAGe/Nl0=")</f>
        <v>#REF!</v>
      </c>
      <c r="CQ53" t="e">
        <f>AND(#REF!,"AAAAAGe/Nl4=")</f>
        <v>#REF!</v>
      </c>
      <c r="CR53" t="e">
        <f>AND(#REF!,"AAAAAGe/Nl8=")</f>
        <v>#REF!</v>
      </c>
      <c r="CS53" t="e">
        <f>AND(#REF!,"AAAAAGe/NmA=")</f>
        <v>#REF!</v>
      </c>
      <c r="CT53" t="e">
        <f>AND(#REF!,"AAAAAGe/NmE=")</f>
        <v>#REF!</v>
      </c>
      <c r="CU53" t="e">
        <f>IF(#REF!,"AAAAAGe/NmI=",0)</f>
        <v>#REF!</v>
      </c>
      <c r="CV53" t="e">
        <f>AND(#REF!,"AAAAAGe/NmM=")</f>
        <v>#REF!</v>
      </c>
      <c r="CW53" t="e">
        <f>AND(#REF!,"AAAAAGe/NmQ=")</f>
        <v>#REF!</v>
      </c>
      <c r="CX53" t="e">
        <f>AND(#REF!,"AAAAAGe/NmU=")</f>
        <v>#REF!</v>
      </c>
      <c r="CY53" t="e">
        <f>AND(#REF!,"AAAAAGe/NmY=")</f>
        <v>#REF!</v>
      </c>
      <c r="CZ53" t="e">
        <f>AND(#REF!,"AAAAAGe/Nmc=")</f>
        <v>#REF!</v>
      </c>
      <c r="DA53" t="e">
        <f>AND(#REF!,"AAAAAGe/Nmg=")</f>
        <v>#REF!</v>
      </c>
      <c r="DB53" t="e">
        <f>AND(#REF!,"AAAAAGe/Nmk=")</f>
        <v>#REF!</v>
      </c>
      <c r="DC53" t="e">
        <f>AND(#REF!,"AAAAAGe/Nmo=")</f>
        <v>#REF!</v>
      </c>
      <c r="DD53" t="e">
        <f>AND(#REF!,"AAAAAGe/Nms=")</f>
        <v>#REF!</v>
      </c>
      <c r="DE53" t="e">
        <f>AND(#REF!,"AAAAAGe/Nmw=")</f>
        <v>#REF!</v>
      </c>
      <c r="DF53" t="e">
        <f>AND(#REF!,"AAAAAGe/Nm0=")</f>
        <v>#REF!</v>
      </c>
      <c r="DG53" t="e">
        <f>AND(#REF!,"AAAAAGe/Nm4=")</f>
        <v>#REF!</v>
      </c>
      <c r="DH53" t="e">
        <f>AND(#REF!,"AAAAAGe/Nm8=")</f>
        <v>#REF!</v>
      </c>
      <c r="DI53" t="e">
        <f>AND(#REF!,"AAAAAGe/NnA=")</f>
        <v>#REF!</v>
      </c>
      <c r="DJ53" t="e">
        <f>AND(#REF!,"AAAAAGe/NnE=")</f>
        <v>#REF!</v>
      </c>
      <c r="DK53" t="e">
        <f>AND(#REF!,"AAAAAGe/NnI=")</f>
        <v>#REF!</v>
      </c>
      <c r="DL53" t="e">
        <f>AND(#REF!,"AAAAAGe/NnM=")</f>
        <v>#REF!</v>
      </c>
      <c r="DM53" t="e">
        <f>AND(#REF!,"AAAAAGe/NnQ=")</f>
        <v>#REF!</v>
      </c>
      <c r="DN53" t="e">
        <f>AND(#REF!,"AAAAAGe/NnU=")</f>
        <v>#REF!</v>
      </c>
      <c r="DO53" t="e">
        <f>AND(#REF!,"AAAAAGe/NnY=")</f>
        <v>#REF!</v>
      </c>
      <c r="DP53" t="e">
        <f>AND(#REF!,"AAAAAGe/Nnc=")</f>
        <v>#REF!</v>
      </c>
      <c r="DQ53" t="e">
        <f>AND(#REF!,"AAAAAGe/Nng=")</f>
        <v>#REF!</v>
      </c>
      <c r="DR53" t="e">
        <f>AND(#REF!,"AAAAAGe/Nnk=")</f>
        <v>#REF!</v>
      </c>
      <c r="DS53" t="e">
        <f>AND(#REF!,"AAAAAGe/Nno=")</f>
        <v>#REF!</v>
      </c>
      <c r="DT53" t="e">
        <f>AND(#REF!,"AAAAAGe/Nns=")</f>
        <v>#REF!</v>
      </c>
      <c r="DU53" t="e">
        <f>AND(#REF!,"AAAAAGe/Nnw=")</f>
        <v>#REF!</v>
      </c>
      <c r="DV53" t="e">
        <f>IF(#REF!,"AAAAAGe/Nn0=",0)</f>
        <v>#REF!</v>
      </c>
      <c r="DW53" t="e">
        <f>AND(#REF!,"AAAAAGe/Nn4=")</f>
        <v>#REF!</v>
      </c>
      <c r="DX53" t="e">
        <f>AND(#REF!,"AAAAAGe/Nn8=")</f>
        <v>#REF!</v>
      </c>
      <c r="DY53" t="e">
        <f>AND(#REF!,"AAAAAGe/NoA=")</f>
        <v>#REF!</v>
      </c>
      <c r="DZ53" t="e">
        <f>AND(#REF!,"AAAAAGe/NoE=")</f>
        <v>#REF!</v>
      </c>
      <c r="EA53" t="e">
        <f>AND(#REF!,"AAAAAGe/NoI=")</f>
        <v>#REF!</v>
      </c>
      <c r="EB53" t="e">
        <f>AND(#REF!,"AAAAAGe/NoM=")</f>
        <v>#REF!</v>
      </c>
      <c r="EC53" t="e">
        <f>AND(#REF!,"AAAAAGe/NoQ=")</f>
        <v>#REF!</v>
      </c>
      <c r="ED53" t="e">
        <f>AND(#REF!,"AAAAAGe/NoU=")</f>
        <v>#REF!</v>
      </c>
      <c r="EE53" t="e">
        <f>AND(#REF!,"AAAAAGe/NoY=")</f>
        <v>#REF!</v>
      </c>
      <c r="EF53" t="e">
        <f>AND(#REF!,"AAAAAGe/Noc=")</f>
        <v>#REF!</v>
      </c>
      <c r="EG53" t="e">
        <f>AND(#REF!,"AAAAAGe/Nog=")</f>
        <v>#REF!</v>
      </c>
      <c r="EH53" t="e">
        <f>AND(#REF!,"AAAAAGe/Nok=")</f>
        <v>#REF!</v>
      </c>
      <c r="EI53" t="e">
        <f>AND(#REF!,"AAAAAGe/Noo=")</f>
        <v>#REF!</v>
      </c>
      <c r="EJ53" t="e">
        <f>AND(#REF!,"AAAAAGe/Nos=")</f>
        <v>#REF!</v>
      </c>
      <c r="EK53" t="e">
        <f>AND(#REF!,"AAAAAGe/Now=")</f>
        <v>#REF!</v>
      </c>
      <c r="EL53" t="e">
        <f>AND(#REF!,"AAAAAGe/No0=")</f>
        <v>#REF!</v>
      </c>
      <c r="EM53" t="e">
        <f>AND(#REF!,"AAAAAGe/No4=")</f>
        <v>#REF!</v>
      </c>
      <c r="EN53" t="e">
        <f>AND(#REF!,"AAAAAGe/No8=")</f>
        <v>#REF!</v>
      </c>
      <c r="EO53" t="e">
        <f>AND(#REF!,"AAAAAGe/NpA=")</f>
        <v>#REF!</v>
      </c>
      <c r="EP53" t="e">
        <f>AND(#REF!,"AAAAAGe/NpE=")</f>
        <v>#REF!</v>
      </c>
      <c r="EQ53" t="e">
        <f>AND(#REF!,"AAAAAGe/NpI=")</f>
        <v>#REF!</v>
      </c>
      <c r="ER53" t="e">
        <f>AND(#REF!,"AAAAAGe/NpM=")</f>
        <v>#REF!</v>
      </c>
      <c r="ES53" t="e">
        <f>AND(#REF!,"AAAAAGe/NpQ=")</f>
        <v>#REF!</v>
      </c>
      <c r="ET53" t="e">
        <f>AND(#REF!,"AAAAAGe/NpU=")</f>
        <v>#REF!</v>
      </c>
      <c r="EU53" t="e">
        <f>AND(#REF!,"AAAAAGe/NpY=")</f>
        <v>#REF!</v>
      </c>
      <c r="EV53" t="e">
        <f>AND(#REF!,"AAAAAGe/Npc=")</f>
        <v>#REF!</v>
      </c>
      <c r="EW53" t="e">
        <f>IF(#REF!,"AAAAAGe/Npg=",0)</f>
        <v>#REF!</v>
      </c>
      <c r="EX53" t="e">
        <f>AND(#REF!,"AAAAAGe/Npk=")</f>
        <v>#REF!</v>
      </c>
      <c r="EY53" t="e">
        <f>AND(#REF!,"AAAAAGe/Npo=")</f>
        <v>#REF!</v>
      </c>
      <c r="EZ53" t="e">
        <f>AND(#REF!,"AAAAAGe/Nps=")</f>
        <v>#REF!</v>
      </c>
      <c r="FA53" t="e">
        <f>AND(#REF!,"AAAAAGe/Npw=")</f>
        <v>#REF!</v>
      </c>
      <c r="FB53" t="e">
        <f>AND(#REF!,"AAAAAGe/Np0=")</f>
        <v>#REF!</v>
      </c>
      <c r="FC53" t="e">
        <f>AND(#REF!,"AAAAAGe/Np4=")</f>
        <v>#REF!</v>
      </c>
      <c r="FD53" t="e">
        <f>AND(#REF!,"AAAAAGe/Np8=")</f>
        <v>#REF!</v>
      </c>
      <c r="FE53" t="e">
        <f>AND(#REF!,"AAAAAGe/NqA=")</f>
        <v>#REF!</v>
      </c>
      <c r="FF53" t="e">
        <f>AND(#REF!,"AAAAAGe/NqE=")</f>
        <v>#REF!</v>
      </c>
      <c r="FG53" t="e">
        <f>AND(#REF!,"AAAAAGe/NqI=")</f>
        <v>#REF!</v>
      </c>
      <c r="FH53" t="e">
        <f>AND(#REF!,"AAAAAGe/NqM=")</f>
        <v>#REF!</v>
      </c>
      <c r="FI53" t="e">
        <f>AND(#REF!,"AAAAAGe/NqQ=")</f>
        <v>#REF!</v>
      </c>
      <c r="FJ53" t="e">
        <f>AND(#REF!,"AAAAAGe/NqU=")</f>
        <v>#REF!</v>
      </c>
      <c r="FK53" t="e">
        <f>AND(#REF!,"AAAAAGe/NqY=")</f>
        <v>#REF!</v>
      </c>
      <c r="FL53" t="e">
        <f>AND(#REF!,"AAAAAGe/Nqc=")</f>
        <v>#REF!</v>
      </c>
      <c r="FM53" t="e">
        <f>AND(#REF!,"AAAAAGe/Nqg=")</f>
        <v>#REF!</v>
      </c>
      <c r="FN53" t="e">
        <f>AND(#REF!,"AAAAAGe/Nqk=")</f>
        <v>#REF!</v>
      </c>
      <c r="FO53" t="e">
        <f>AND(#REF!,"AAAAAGe/Nqo=")</f>
        <v>#REF!</v>
      </c>
      <c r="FP53" t="e">
        <f>AND(#REF!,"AAAAAGe/Nqs=")</f>
        <v>#REF!</v>
      </c>
      <c r="FQ53" t="e">
        <f>AND(#REF!,"AAAAAGe/Nqw=")</f>
        <v>#REF!</v>
      </c>
      <c r="FR53" t="e">
        <f>AND(#REF!,"AAAAAGe/Nq0=")</f>
        <v>#REF!</v>
      </c>
      <c r="FS53" t="e">
        <f>AND(#REF!,"AAAAAGe/Nq4=")</f>
        <v>#REF!</v>
      </c>
      <c r="FT53" t="e">
        <f>AND(#REF!,"AAAAAGe/Nq8=")</f>
        <v>#REF!</v>
      </c>
      <c r="FU53" t="e">
        <f>AND(#REF!,"AAAAAGe/NrA=")</f>
        <v>#REF!</v>
      </c>
      <c r="FV53" t="e">
        <f>AND(#REF!,"AAAAAGe/NrE=")</f>
        <v>#REF!</v>
      </c>
      <c r="FW53" t="e">
        <f>AND(#REF!,"AAAAAGe/NrI=")</f>
        <v>#REF!</v>
      </c>
      <c r="FX53" t="e">
        <f>IF(#REF!,"AAAAAGe/NrM=",0)</f>
        <v>#REF!</v>
      </c>
      <c r="FY53" t="e">
        <f>AND(#REF!,"AAAAAGe/NrQ=")</f>
        <v>#REF!</v>
      </c>
      <c r="FZ53" t="e">
        <f>AND(#REF!,"AAAAAGe/NrU=")</f>
        <v>#REF!</v>
      </c>
      <c r="GA53" t="e">
        <f>AND(#REF!,"AAAAAGe/NrY=")</f>
        <v>#REF!</v>
      </c>
      <c r="GB53" t="e">
        <f>AND(#REF!,"AAAAAGe/Nrc=")</f>
        <v>#REF!</v>
      </c>
      <c r="GC53" t="e">
        <f>AND(#REF!,"AAAAAGe/Nrg=")</f>
        <v>#REF!</v>
      </c>
      <c r="GD53" t="e">
        <f>AND(#REF!,"AAAAAGe/Nrk=")</f>
        <v>#REF!</v>
      </c>
      <c r="GE53" t="e">
        <f>AND(#REF!,"AAAAAGe/Nro=")</f>
        <v>#REF!</v>
      </c>
      <c r="GF53" t="e">
        <f>AND(#REF!,"AAAAAGe/Nrs=")</f>
        <v>#REF!</v>
      </c>
      <c r="GG53" t="e">
        <f>AND(#REF!,"AAAAAGe/Nrw=")</f>
        <v>#REF!</v>
      </c>
      <c r="GH53" t="e">
        <f>AND(#REF!,"AAAAAGe/Nr0=")</f>
        <v>#REF!</v>
      </c>
      <c r="GI53" t="e">
        <f>AND(#REF!,"AAAAAGe/Nr4=")</f>
        <v>#REF!</v>
      </c>
      <c r="GJ53" t="e">
        <f>AND(#REF!,"AAAAAGe/Nr8=")</f>
        <v>#REF!</v>
      </c>
      <c r="GK53" t="e">
        <f>AND(#REF!,"AAAAAGe/NsA=")</f>
        <v>#REF!</v>
      </c>
      <c r="GL53" t="e">
        <f>AND(#REF!,"AAAAAGe/NsE=")</f>
        <v>#REF!</v>
      </c>
      <c r="GM53" t="e">
        <f>AND(#REF!,"AAAAAGe/NsI=")</f>
        <v>#REF!</v>
      </c>
      <c r="GN53" t="e">
        <f>AND(#REF!,"AAAAAGe/NsM=")</f>
        <v>#REF!</v>
      </c>
      <c r="GO53" t="e">
        <f>AND(#REF!,"AAAAAGe/NsQ=")</f>
        <v>#REF!</v>
      </c>
      <c r="GP53" t="e">
        <f>AND(#REF!,"AAAAAGe/NsU=")</f>
        <v>#REF!</v>
      </c>
      <c r="GQ53" t="e">
        <f>AND(#REF!,"AAAAAGe/NsY=")</f>
        <v>#REF!</v>
      </c>
      <c r="GR53" t="e">
        <f>AND(#REF!,"AAAAAGe/Nsc=")</f>
        <v>#REF!</v>
      </c>
      <c r="GS53" t="e">
        <f>AND(#REF!,"AAAAAGe/Nsg=")</f>
        <v>#REF!</v>
      </c>
      <c r="GT53" t="e">
        <f>AND(#REF!,"AAAAAGe/Nsk=")</f>
        <v>#REF!</v>
      </c>
      <c r="GU53" t="e">
        <f>AND(#REF!,"AAAAAGe/Nso=")</f>
        <v>#REF!</v>
      </c>
      <c r="GV53" t="e">
        <f>AND(#REF!,"AAAAAGe/Nss=")</f>
        <v>#REF!</v>
      </c>
      <c r="GW53" t="e">
        <f>AND(#REF!,"AAAAAGe/Nsw=")</f>
        <v>#REF!</v>
      </c>
      <c r="GX53" t="e">
        <f>AND(#REF!,"AAAAAGe/Ns0=")</f>
        <v>#REF!</v>
      </c>
      <c r="GY53" t="e">
        <f>IF(#REF!,"AAAAAGe/Ns4=",0)</f>
        <v>#REF!</v>
      </c>
      <c r="GZ53" t="e">
        <f>AND(#REF!,"AAAAAGe/Ns8=")</f>
        <v>#REF!</v>
      </c>
      <c r="HA53" t="e">
        <f>AND(#REF!,"AAAAAGe/NtA=")</f>
        <v>#REF!</v>
      </c>
      <c r="HB53" t="e">
        <f>AND(#REF!,"AAAAAGe/NtE=")</f>
        <v>#REF!</v>
      </c>
      <c r="HC53" t="e">
        <f>AND(#REF!,"AAAAAGe/NtI=")</f>
        <v>#REF!</v>
      </c>
      <c r="HD53" t="e">
        <f>AND(#REF!,"AAAAAGe/NtM=")</f>
        <v>#REF!</v>
      </c>
      <c r="HE53" t="e">
        <f>AND(#REF!,"AAAAAGe/NtQ=")</f>
        <v>#REF!</v>
      </c>
      <c r="HF53" t="e">
        <f>AND(#REF!,"AAAAAGe/NtU=")</f>
        <v>#REF!</v>
      </c>
      <c r="HG53" t="e">
        <f>AND(#REF!,"AAAAAGe/NtY=")</f>
        <v>#REF!</v>
      </c>
      <c r="HH53" t="e">
        <f>AND(#REF!,"AAAAAGe/Ntc=")</f>
        <v>#REF!</v>
      </c>
      <c r="HI53" t="e">
        <f>AND(#REF!,"AAAAAGe/Ntg=")</f>
        <v>#REF!</v>
      </c>
      <c r="HJ53" t="e">
        <f>AND(#REF!,"AAAAAGe/Ntk=")</f>
        <v>#REF!</v>
      </c>
      <c r="HK53" t="e">
        <f>AND(#REF!,"AAAAAGe/Nto=")</f>
        <v>#REF!</v>
      </c>
      <c r="HL53" t="e">
        <f>AND(#REF!,"AAAAAGe/Nts=")</f>
        <v>#REF!</v>
      </c>
      <c r="HM53" t="e">
        <f>AND(#REF!,"AAAAAGe/Ntw=")</f>
        <v>#REF!</v>
      </c>
      <c r="HN53" t="e">
        <f>AND(#REF!,"AAAAAGe/Nt0=")</f>
        <v>#REF!</v>
      </c>
      <c r="HO53" t="e">
        <f>AND(#REF!,"AAAAAGe/Nt4=")</f>
        <v>#REF!</v>
      </c>
      <c r="HP53" t="e">
        <f>AND(#REF!,"AAAAAGe/Nt8=")</f>
        <v>#REF!</v>
      </c>
      <c r="HQ53" t="e">
        <f>AND(#REF!,"AAAAAGe/NuA=")</f>
        <v>#REF!</v>
      </c>
      <c r="HR53" t="e">
        <f>AND(#REF!,"AAAAAGe/NuE=")</f>
        <v>#REF!</v>
      </c>
      <c r="HS53" t="e">
        <f>AND(#REF!,"AAAAAGe/NuI=")</f>
        <v>#REF!</v>
      </c>
      <c r="HT53" t="e">
        <f>AND(#REF!,"AAAAAGe/NuM=")</f>
        <v>#REF!</v>
      </c>
      <c r="HU53" t="e">
        <f>AND(#REF!,"AAAAAGe/NuQ=")</f>
        <v>#REF!</v>
      </c>
      <c r="HV53" t="e">
        <f>AND(#REF!,"AAAAAGe/NuU=")</f>
        <v>#REF!</v>
      </c>
      <c r="HW53" t="e">
        <f>AND(#REF!,"AAAAAGe/NuY=")</f>
        <v>#REF!</v>
      </c>
      <c r="HX53" t="e">
        <f>AND(#REF!,"AAAAAGe/Nuc=")</f>
        <v>#REF!</v>
      </c>
      <c r="HY53" t="e">
        <f>AND(#REF!,"AAAAAGe/Nug=")</f>
        <v>#REF!</v>
      </c>
      <c r="HZ53" t="e">
        <f>IF(#REF!,"AAAAAGe/Nuk=",0)</f>
        <v>#REF!</v>
      </c>
      <c r="IA53" t="e">
        <f>AND(#REF!,"AAAAAGe/Nuo=")</f>
        <v>#REF!</v>
      </c>
      <c r="IB53" t="e">
        <f>AND(#REF!,"AAAAAGe/Nus=")</f>
        <v>#REF!</v>
      </c>
      <c r="IC53" t="e">
        <f>AND(#REF!,"AAAAAGe/Nuw=")</f>
        <v>#REF!</v>
      </c>
      <c r="ID53" t="e">
        <f>AND(#REF!,"AAAAAGe/Nu0=")</f>
        <v>#REF!</v>
      </c>
      <c r="IE53" t="e">
        <f>AND(#REF!,"AAAAAGe/Nu4=")</f>
        <v>#REF!</v>
      </c>
      <c r="IF53" t="e">
        <f>AND(#REF!,"AAAAAGe/Nu8=")</f>
        <v>#REF!</v>
      </c>
      <c r="IG53" t="e">
        <f>AND(#REF!,"AAAAAGe/NvA=")</f>
        <v>#REF!</v>
      </c>
      <c r="IH53" t="e">
        <f>AND(#REF!,"AAAAAGe/NvE=")</f>
        <v>#REF!</v>
      </c>
      <c r="II53" t="e">
        <f>AND(#REF!,"AAAAAGe/NvI=")</f>
        <v>#REF!</v>
      </c>
      <c r="IJ53" t="e">
        <f>AND(#REF!,"AAAAAGe/NvM=")</f>
        <v>#REF!</v>
      </c>
      <c r="IK53" t="e">
        <f>AND(#REF!,"AAAAAGe/NvQ=")</f>
        <v>#REF!</v>
      </c>
      <c r="IL53" t="e">
        <f>AND(#REF!,"AAAAAGe/NvU=")</f>
        <v>#REF!</v>
      </c>
      <c r="IM53" t="e">
        <f>AND(#REF!,"AAAAAGe/NvY=")</f>
        <v>#REF!</v>
      </c>
      <c r="IN53" t="e">
        <f>AND(#REF!,"AAAAAGe/Nvc=")</f>
        <v>#REF!</v>
      </c>
      <c r="IO53" t="e">
        <f>AND(#REF!,"AAAAAGe/Nvg=")</f>
        <v>#REF!</v>
      </c>
      <c r="IP53" t="e">
        <f>AND(#REF!,"AAAAAGe/Nvk=")</f>
        <v>#REF!</v>
      </c>
      <c r="IQ53" t="e">
        <f>AND(#REF!,"AAAAAGe/Nvo=")</f>
        <v>#REF!</v>
      </c>
      <c r="IR53" t="e">
        <f>AND(#REF!,"AAAAAGe/Nvs=")</f>
        <v>#REF!</v>
      </c>
      <c r="IS53" t="e">
        <f>AND(#REF!,"AAAAAGe/Nvw=")</f>
        <v>#REF!</v>
      </c>
      <c r="IT53" t="e">
        <f>AND(#REF!,"AAAAAGe/Nv0=")</f>
        <v>#REF!</v>
      </c>
      <c r="IU53" t="e">
        <f>AND(#REF!,"AAAAAGe/Nv4=")</f>
        <v>#REF!</v>
      </c>
      <c r="IV53" t="e">
        <f>AND(#REF!,"AAAAAGe/Nv8=")</f>
        <v>#REF!</v>
      </c>
    </row>
    <row r="54" spans="1:256" x14ac:dyDescent="0.2">
      <c r="A54" t="e">
        <f>AND(#REF!,"AAAAAH/+jAA=")</f>
        <v>#REF!</v>
      </c>
      <c r="B54" t="e">
        <f>AND(#REF!,"AAAAAH/+jAE=")</f>
        <v>#REF!</v>
      </c>
      <c r="C54" t="e">
        <f>AND(#REF!,"AAAAAH/+jAI=")</f>
        <v>#REF!</v>
      </c>
      <c r="D54" t="e">
        <f>AND(#REF!,"AAAAAH/+jAM=")</f>
        <v>#REF!</v>
      </c>
      <c r="E54" t="e">
        <f>IF(#REF!,"AAAAAH/+jAQ=",0)</f>
        <v>#REF!</v>
      </c>
      <c r="F54" t="e">
        <f>AND(#REF!,"AAAAAH/+jAU=")</f>
        <v>#REF!</v>
      </c>
      <c r="G54" t="e">
        <f>AND(#REF!,"AAAAAH/+jAY=")</f>
        <v>#REF!</v>
      </c>
      <c r="H54" t="e">
        <f>AND(#REF!,"AAAAAH/+jAc=")</f>
        <v>#REF!</v>
      </c>
      <c r="I54" t="e">
        <f>AND(#REF!,"AAAAAH/+jAg=")</f>
        <v>#REF!</v>
      </c>
      <c r="J54" t="e">
        <f>AND(#REF!,"AAAAAH/+jAk=")</f>
        <v>#REF!</v>
      </c>
      <c r="K54" t="e">
        <f>AND(#REF!,"AAAAAH/+jAo=")</f>
        <v>#REF!</v>
      </c>
      <c r="L54" t="e">
        <f>AND(#REF!,"AAAAAH/+jAs=")</f>
        <v>#REF!</v>
      </c>
      <c r="M54" t="e">
        <f>AND(#REF!,"AAAAAH/+jAw=")</f>
        <v>#REF!</v>
      </c>
      <c r="N54" t="e">
        <f>AND(#REF!,"AAAAAH/+jA0=")</f>
        <v>#REF!</v>
      </c>
      <c r="O54" t="e">
        <f>AND(#REF!,"AAAAAH/+jA4=")</f>
        <v>#REF!</v>
      </c>
      <c r="P54" t="e">
        <f>AND(#REF!,"AAAAAH/+jA8=")</f>
        <v>#REF!</v>
      </c>
      <c r="Q54" t="e">
        <f>AND(#REF!,"AAAAAH/+jBA=")</f>
        <v>#REF!</v>
      </c>
      <c r="R54" t="e">
        <f>AND(#REF!,"AAAAAH/+jBE=")</f>
        <v>#REF!</v>
      </c>
      <c r="S54" t="e">
        <f>AND(#REF!,"AAAAAH/+jBI=")</f>
        <v>#REF!</v>
      </c>
      <c r="T54" t="e">
        <f>AND(#REF!,"AAAAAH/+jBM=")</f>
        <v>#REF!</v>
      </c>
      <c r="U54" t="e">
        <f>AND(#REF!,"AAAAAH/+jBQ=")</f>
        <v>#REF!</v>
      </c>
      <c r="V54" t="e">
        <f>AND(#REF!,"AAAAAH/+jBU=")</f>
        <v>#REF!</v>
      </c>
      <c r="W54" t="e">
        <f>AND(#REF!,"AAAAAH/+jBY=")</f>
        <v>#REF!</v>
      </c>
      <c r="X54" t="e">
        <f>AND(#REF!,"AAAAAH/+jBc=")</f>
        <v>#REF!</v>
      </c>
      <c r="Y54" t="e">
        <f>AND(#REF!,"AAAAAH/+jBg=")</f>
        <v>#REF!</v>
      </c>
      <c r="Z54" t="e">
        <f>AND(#REF!,"AAAAAH/+jBk=")</f>
        <v>#REF!</v>
      </c>
      <c r="AA54" t="e">
        <f>AND(#REF!,"AAAAAH/+jBo=")</f>
        <v>#REF!</v>
      </c>
      <c r="AB54" t="e">
        <f>AND(#REF!,"AAAAAH/+jBs=")</f>
        <v>#REF!</v>
      </c>
      <c r="AC54" t="e">
        <f>AND(#REF!,"AAAAAH/+jBw=")</f>
        <v>#REF!</v>
      </c>
      <c r="AD54" t="e">
        <f>AND(#REF!,"AAAAAH/+jB0=")</f>
        <v>#REF!</v>
      </c>
      <c r="AE54" t="e">
        <f>AND(#REF!,"AAAAAH/+jB4=")</f>
        <v>#REF!</v>
      </c>
      <c r="AF54" t="e">
        <f>IF(#REF!,"AAAAAH/+jB8=",0)</f>
        <v>#REF!</v>
      </c>
      <c r="AG54" t="e">
        <f>AND(#REF!,"AAAAAH/+jCA=")</f>
        <v>#REF!</v>
      </c>
      <c r="AH54" t="e">
        <f>AND(#REF!,"AAAAAH/+jCE=")</f>
        <v>#REF!</v>
      </c>
      <c r="AI54" t="e">
        <f>AND(#REF!,"AAAAAH/+jCI=")</f>
        <v>#REF!</v>
      </c>
      <c r="AJ54" t="e">
        <f>AND(#REF!,"AAAAAH/+jCM=")</f>
        <v>#REF!</v>
      </c>
      <c r="AK54" t="e">
        <f>AND(#REF!,"AAAAAH/+jCQ=")</f>
        <v>#REF!</v>
      </c>
      <c r="AL54" t="e">
        <f>AND(#REF!,"AAAAAH/+jCU=")</f>
        <v>#REF!</v>
      </c>
      <c r="AM54" t="e">
        <f>AND(#REF!,"AAAAAH/+jCY=")</f>
        <v>#REF!</v>
      </c>
      <c r="AN54" t="e">
        <f>AND(#REF!,"AAAAAH/+jCc=")</f>
        <v>#REF!</v>
      </c>
      <c r="AO54" t="e">
        <f>AND(#REF!,"AAAAAH/+jCg=")</f>
        <v>#REF!</v>
      </c>
      <c r="AP54" t="e">
        <f>AND(#REF!,"AAAAAH/+jCk=")</f>
        <v>#REF!</v>
      </c>
      <c r="AQ54" t="e">
        <f>AND(#REF!,"AAAAAH/+jCo=")</f>
        <v>#REF!</v>
      </c>
      <c r="AR54" t="e">
        <f>AND(#REF!,"AAAAAH/+jCs=")</f>
        <v>#REF!</v>
      </c>
      <c r="AS54" t="e">
        <f>AND(#REF!,"AAAAAH/+jCw=")</f>
        <v>#REF!</v>
      </c>
      <c r="AT54" t="e">
        <f>AND(#REF!,"AAAAAH/+jC0=")</f>
        <v>#REF!</v>
      </c>
      <c r="AU54" t="e">
        <f>AND(#REF!,"AAAAAH/+jC4=")</f>
        <v>#REF!</v>
      </c>
      <c r="AV54" t="e">
        <f>AND(#REF!,"AAAAAH/+jC8=")</f>
        <v>#REF!</v>
      </c>
      <c r="AW54" t="e">
        <f>AND(#REF!,"AAAAAH/+jDA=")</f>
        <v>#REF!</v>
      </c>
      <c r="AX54" t="e">
        <f>AND(#REF!,"AAAAAH/+jDE=")</f>
        <v>#REF!</v>
      </c>
      <c r="AY54" t="e">
        <f>AND(#REF!,"AAAAAH/+jDI=")</f>
        <v>#REF!</v>
      </c>
      <c r="AZ54" t="e">
        <f>AND(#REF!,"AAAAAH/+jDM=")</f>
        <v>#REF!</v>
      </c>
      <c r="BA54" t="e">
        <f>AND(#REF!,"AAAAAH/+jDQ=")</f>
        <v>#REF!</v>
      </c>
      <c r="BB54" t="e">
        <f>AND(#REF!,"AAAAAH/+jDU=")</f>
        <v>#REF!</v>
      </c>
      <c r="BC54" t="e">
        <f>AND(#REF!,"AAAAAH/+jDY=")</f>
        <v>#REF!</v>
      </c>
      <c r="BD54" t="e">
        <f>AND(#REF!,"AAAAAH/+jDc=")</f>
        <v>#REF!</v>
      </c>
      <c r="BE54" t="e">
        <f>AND(#REF!,"AAAAAH/+jDg=")</f>
        <v>#REF!</v>
      </c>
      <c r="BF54" t="e">
        <f>AND(#REF!,"AAAAAH/+jDk=")</f>
        <v>#REF!</v>
      </c>
      <c r="BG54" t="e">
        <f>IF(#REF!,"AAAAAH/+jDo=",0)</f>
        <v>#REF!</v>
      </c>
      <c r="BH54" t="e">
        <f>AND(#REF!,"AAAAAH/+jDs=")</f>
        <v>#REF!</v>
      </c>
      <c r="BI54" t="e">
        <f>AND(#REF!,"AAAAAH/+jDw=")</f>
        <v>#REF!</v>
      </c>
      <c r="BJ54" t="e">
        <f>AND(#REF!,"AAAAAH/+jD0=")</f>
        <v>#REF!</v>
      </c>
      <c r="BK54" t="e">
        <f>AND(#REF!,"AAAAAH/+jD4=")</f>
        <v>#REF!</v>
      </c>
      <c r="BL54" t="e">
        <f>AND(#REF!,"AAAAAH/+jD8=")</f>
        <v>#REF!</v>
      </c>
      <c r="BM54" t="e">
        <f>AND(#REF!,"AAAAAH/+jEA=")</f>
        <v>#REF!</v>
      </c>
      <c r="BN54" t="e">
        <f>AND(#REF!,"AAAAAH/+jEE=")</f>
        <v>#REF!</v>
      </c>
      <c r="BO54" t="e">
        <f>AND(#REF!,"AAAAAH/+jEI=")</f>
        <v>#REF!</v>
      </c>
      <c r="BP54" t="e">
        <f>AND(#REF!,"AAAAAH/+jEM=")</f>
        <v>#REF!</v>
      </c>
      <c r="BQ54" t="e">
        <f>AND(#REF!,"AAAAAH/+jEQ=")</f>
        <v>#REF!</v>
      </c>
      <c r="BR54" t="e">
        <f>AND(#REF!,"AAAAAH/+jEU=")</f>
        <v>#REF!</v>
      </c>
      <c r="BS54" t="e">
        <f>AND(#REF!,"AAAAAH/+jEY=")</f>
        <v>#REF!</v>
      </c>
      <c r="BT54" t="e">
        <f>AND(#REF!,"AAAAAH/+jEc=")</f>
        <v>#REF!</v>
      </c>
      <c r="BU54" t="e">
        <f>AND(#REF!,"AAAAAH/+jEg=")</f>
        <v>#REF!</v>
      </c>
      <c r="BV54" t="e">
        <f>AND(#REF!,"AAAAAH/+jEk=")</f>
        <v>#REF!</v>
      </c>
      <c r="BW54" t="e">
        <f>AND(#REF!,"AAAAAH/+jEo=")</f>
        <v>#REF!</v>
      </c>
      <c r="BX54" t="e">
        <f>AND(#REF!,"AAAAAH/+jEs=")</f>
        <v>#REF!</v>
      </c>
      <c r="BY54" t="e">
        <f>AND(#REF!,"AAAAAH/+jEw=")</f>
        <v>#REF!</v>
      </c>
      <c r="BZ54" t="e">
        <f>AND(#REF!,"AAAAAH/+jE0=")</f>
        <v>#REF!</v>
      </c>
      <c r="CA54" t="e">
        <f>AND(#REF!,"AAAAAH/+jE4=")</f>
        <v>#REF!</v>
      </c>
      <c r="CB54" t="e">
        <f>AND(#REF!,"AAAAAH/+jE8=")</f>
        <v>#REF!</v>
      </c>
      <c r="CC54" t="e">
        <f>AND(#REF!,"AAAAAH/+jFA=")</f>
        <v>#REF!</v>
      </c>
      <c r="CD54" t="e">
        <f>AND(#REF!,"AAAAAH/+jFE=")</f>
        <v>#REF!</v>
      </c>
      <c r="CE54" t="e">
        <f>AND(#REF!,"AAAAAH/+jFI=")</f>
        <v>#REF!</v>
      </c>
      <c r="CF54" t="e">
        <f>AND(#REF!,"AAAAAH/+jFM=")</f>
        <v>#REF!</v>
      </c>
      <c r="CG54" t="e">
        <f>AND(#REF!,"AAAAAH/+jFQ=")</f>
        <v>#REF!</v>
      </c>
      <c r="CH54" t="e">
        <f>IF(#REF!,"AAAAAH/+jFU=",0)</f>
        <v>#REF!</v>
      </c>
      <c r="CI54" t="e">
        <f>AND(#REF!,"AAAAAH/+jFY=")</f>
        <v>#REF!</v>
      </c>
      <c r="CJ54" t="e">
        <f>AND(#REF!,"AAAAAH/+jFc=")</f>
        <v>#REF!</v>
      </c>
      <c r="CK54" t="e">
        <f>AND(#REF!,"AAAAAH/+jFg=")</f>
        <v>#REF!</v>
      </c>
      <c r="CL54" t="e">
        <f>AND(#REF!,"AAAAAH/+jFk=")</f>
        <v>#REF!</v>
      </c>
      <c r="CM54" t="e">
        <f>AND(#REF!,"AAAAAH/+jFo=")</f>
        <v>#REF!</v>
      </c>
      <c r="CN54" t="e">
        <f>AND(#REF!,"AAAAAH/+jFs=")</f>
        <v>#REF!</v>
      </c>
      <c r="CO54" t="e">
        <f>AND(#REF!,"AAAAAH/+jFw=")</f>
        <v>#REF!</v>
      </c>
      <c r="CP54" t="e">
        <f>AND(#REF!,"AAAAAH/+jF0=")</f>
        <v>#REF!</v>
      </c>
      <c r="CQ54" t="e">
        <f>AND(#REF!,"AAAAAH/+jF4=")</f>
        <v>#REF!</v>
      </c>
      <c r="CR54" t="e">
        <f>AND(#REF!,"AAAAAH/+jF8=")</f>
        <v>#REF!</v>
      </c>
      <c r="CS54" t="e">
        <f>AND(#REF!,"AAAAAH/+jGA=")</f>
        <v>#REF!</v>
      </c>
      <c r="CT54" t="e">
        <f>AND(#REF!,"AAAAAH/+jGE=")</f>
        <v>#REF!</v>
      </c>
      <c r="CU54" t="e">
        <f>AND(#REF!,"AAAAAH/+jGI=")</f>
        <v>#REF!</v>
      </c>
      <c r="CV54" t="e">
        <f>AND(#REF!,"AAAAAH/+jGM=")</f>
        <v>#REF!</v>
      </c>
      <c r="CW54" t="e">
        <f>AND(#REF!,"AAAAAH/+jGQ=")</f>
        <v>#REF!</v>
      </c>
      <c r="CX54" t="e">
        <f>AND(#REF!,"AAAAAH/+jGU=")</f>
        <v>#REF!</v>
      </c>
      <c r="CY54" t="e">
        <f>AND(#REF!,"AAAAAH/+jGY=")</f>
        <v>#REF!</v>
      </c>
      <c r="CZ54" t="e">
        <f>AND(#REF!,"AAAAAH/+jGc=")</f>
        <v>#REF!</v>
      </c>
      <c r="DA54" t="e">
        <f>AND(#REF!,"AAAAAH/+jGg=")</f>
        <v>#REF!</v>
      </c>
      <c r="DB54" t="e">
        <f>AND(#REF!,"AAAAAH/+jGk=")</f>
        <v>#REF!</v>
      </c>
      <c r="DC54" t="e">
        <f>AND(#REF!,"AAAAAH/+jGo=")</f>
        <v>#REF!</v>
      </c>
      <c r="DD54" t="e">
        <f>AND(#REF!,"AAAAAH/+jGs=")</f>
        <v>#REF!</v>
      </c>
      <c r="DE54" t="e">
        <f>AND(#REF!,"AAAAAH/+jGw=")</f>
        <v>#REF!</v>
      </c>
      <c r="DF54" t="e">
        <f>AND(#REF!,"AAAAAH/+jG0=")</f>
        <v>#REF!</v>
      </c>
      <c r="DG54" t="e">
        <f>AND(#REF!,"AAAAAH/+jG4=")</f>
        <v>#REF!</v>
      </c>
      <c r="DH54" t="e">
        <f>AND(#REF!,"AAAAAH/+jG8=")</f>
        <v>#REF!</v>
      </c>
      <c r="DI54" t="e">
        <f>IF(#REF!,"AAAAAH/+jHA=",0)</f>
        <v>#REF!</v>
      </c>
      <c r="DJ54" t="e">
        <f>AND(#REF!,"AAAAAH/+jHE=")</f>
        <v>#REF!</v>
      </c>
      <c r="DK54" t="e">
        <f>AND(#REF!,"AAAAAH/+jHI=")</f>
        <v>#REF!</v>
      </c>
      <c r="DL54" t="e">
        <f>AND(#REF!,"AAAAAH/+jHM=")</f>
        <v>#REF!</v>
      </c>
      <c r="DM54" t="e">
        <f>AND(#REF!,"AAAAAH/+jHQ=")</f>
        <v>#REF!</v>
      </c>
      <c r="DN54" t="e">
        <f>AND(#REF!,"AAAAAH/+jHU=")</f>
        <v>#REF!</v>
      </c>
      <c r="DO54" t="e">
        <f>AND(#REF!,"AAAAAH/+jHY=")</f>
        <v>#REF!</v>
      </c>
      <c r="DP54" t="e">
        <f>AND(#REF!,"AAAAAH/+jHc=")</f>
        <v>#REF!</v>
      </c>
      <c r="DQ54" t="e">
        <f>AND(#REF!,"AAAAAH/+jHg=")</f>
        <v>#REF!</v>
      </c>
      <c r="DR54" t="e">
        <f>AND(#REF!,"AAAAAH/+jHk=")</f>
        <v>#REF!</v>
      </c>
      <c r="DS54" t="e">
        <f>AND(#REF!,"AAAAAH/+jHo=")</f>
        <v>#REF!</v>
      </c>
      <c r="DT54" t="e">
        <f>AND(#REF!,"AAAAAH/+jHs=")</f>
        <v>#REF!</v>
      </c>
      <c r="DU54" t="e">
        <f>AND(#REF!,"AAAAAH/+jHw=")</f>
        <v>#REF!</v>
      </c>
      <c r="DV54" t="e">
        <f>AND(#REF!,"AAAAAH/+jH0=")</f>
        <v>#REF!</v>
      </c>
      <c r="DW54" t="e">
        <f>AND(#REF!,"AAAAAH/+jH4=")</f>
        <v>#REF!</v>
      </c>
      <c r="DX54" t="e">
        <f>AND(#REF!,"AAAAAH/+jH8=")</f>
        <v>#REF!</v>
      </c>
      <c r="DY54" t="e">
        <f>AND(#REF!,"AAAAAH/+jIA=")</f>
        <v>#REF!</v>
      </c>
      <c r="DZ54" t="e">
        <f>AND(#REF!,"AAAAAH/+jIE=")</f>
        <v>#REF!</v>
      </c>
      <c r="EA54" t="e">
        <f>AND(#REF!,"AAAAAH/+jII=")</f>
        <v>#REF!</v>
      </c>
      <c r="EB54" t="e">
        <f>AND(#REF!,"AAAAAH/+jIM=")</f>
        <v>#REF!</v>
      </c>
      <c r="EC54" t="e">
        <f>AND(#REF!,"AAAAAH/+jIQ=")</f>
        <v>#REF!</v>
      </c>
      <c r="ED54" t="e">
        <f>AND(#REF!,"AAAAAH/+jIU=")</f>
        <v>#REF!</v>
      </c>
      <c r="EE54" t="e">
        <f>AND(#REF!,"AAAAAH/+jIY=")</f>
        <v>#REF!</v>
      </c>
      <c r="EF54" t="e">
        <f>AND(#REF!,"AAAAAH/+jIc=")</f>
        <v>#REF!</v>
      </c>
      <c r="EG54" t="e">
        <f>AND(#REF!,"AAAAAH/+jIg=")</f>
        <v>#REF!</v>
      </c>
      <c r="EH54" t="e">
        <f>AND(#REF!,"AAAAAH/+jIk=")</f>
        <v>#REF!</v>
      </c>
      <c r="EI54" t="e">
        <f>AND(#REF!,"AAAAAH/+jIo=")</f>
        <v>#REF!</v>
      </c>
      <c r="EJ54" t="e">
        <f>IF(#REF!,"AAAAAH/+jIs=",0)</f>
        <v>#REF!</v>
      </c>
      <c r="EK54" t="e">
        <f>AND(#REF!,"AAAAAH/+jIw=")</f>
        <v>#REF!</v>
      </c>
      <c r="EL54" t="e">
        <f>AND(#REF!,"AAAAAH/+jI0=")</f>
        <v>#REF!</v>
      </c>
      <c r="EM54" t="e">
        <f>AND(#REF!,"AAAAAH/+jI4=")</f>
        <v>#REF!</v>
      </c>
      <c r="EN54" t="e">
        <f>AND(#REF!,"AAAAAH/+jI8=")</f>
        <v>#REF!</v>
      </c>
      <c r="EO54" t="e">
        <f>AND(#REF!,"AAAAAH/+jJA=")</f>
        <v>#REF!</v>
      </c>
      <c r="EP54" t="e">
        <f>AND(#REF!,"AAAAAH/+jJE=")</f>
        <v>#REF!</v>
      </c>
      <c r="EQ54" t="e">
        <f>AND(#REF!,"AAAAAH/+jJI=")</f>
        <v>#REF!</v>
      </c>
      <c r="ER54" t="e">
        <f>AND(#REF!,"AAAAAH/+jJM=")</f>
        <v>#REF!</v>
      </c>
      <c r="ES54" t="e">
        <f>AND(#REF!,"AAAAAH/+jJQ=")</f>
        <v>#REF!</v>
      </c>
      <c r="ET54" t="e">
        <f>AND(#REF!,"AAAAAH/+jJU=")</f>
        <v>#REF!</v>
      </c>
      <c r="EU54" t="e">
        <f>AND(#REF!,"AAAAAH/+jJY=")</f>
        <v>#REF!</v>
      </c>
      <c r="EV54" t="e">
        <f>AND(#REF!,"AAAAAH/+jJc=")</f>
        <v>#REF!</v>
      </c>
      <c r="EW54" t="e">
        <f>AND(#REF!,"AAAAAH/+jJg=")</f>
        <v>#REF!</v>
      </c>
      <c r="EX54" t="e">
        <f>AND(#REF!,"AAAAAH/+jJk=")</f>
        <v>#REF!</v>
      </c>
      <c r="EY54" t="e">
        <f>AND(#REF!,"AAAAAH/+jJo=")</f>
        <v>#REF!</v>
      </c>
      <c r="EZ54" t="e">
        <f>AND(#REF!,"AAAAAH/+jJs=")</f>
        <v>#REF!</v>
      </c>
      <c r="FA54" t="e">
        <f>AND(#REF!,"AAAAAH/+jJw=")</f>
        <v>#REF!</v>
      </c>
      <c r="FB54" t="e">
        <f>AND(#REF!,"AAAAAH/+jJ0=")</f>
        <v>#REF!</v>
      </c>
      <c r="FC54" t="e">
        <f>AND(#REF!,"AAAAAH/+jJ4=")</f>
        <v>#REF!</v>
      </c>
      <c r="FD54" t="e">
        <f>AND(#REF!,"AAAAAH/+jJ8=")</f>
        <v>#REF!</v>
      </c>
      <c r="FE54" t="e">
        <f>AND(#REF!,"AAAAAH/+jKA=")</f>
        <v>#REF!</v>
      </c>
      <c r="FF54" t="e">
        <f>AND(#REF!,"AAAAAH/+jKE=")</f>
        <v>#REF!</v>
      </c>
      <c r="FG54" t="e">
        <f>AND(#REF!,"AAAAAH/+jKI=")</f>
        <v>#REF!</v>
      </c>
      <c r="FH54" t="e">
        <f>AND(#REF!,"AAAAAH/+jKM=")</f>
        <v>#REF!</v>
      </c>
      <c r="FI54" t="e">
        <f>AND(#REF!,"AAAAAH/+jKQ=")</f>
        <v>#REF!</v>
      </c>
      <c r="FJ54" t="e">
        <f>AND(#REF!,"AAAAAH/+jKU=")</f>
        <v>#REF!</v>
      </c>
      <c r="FK54" t="e">
        <f>IF(#REF!,"AAAAAH/+jKY=",0)</f>
        <v>#REF!</v>
      </c>
      <c r="FL54" t="e">
        <f>AND(#REF!,"AAAAAH/+jKc=")</f>
        <v>#REF!</v>
      </c>
      <c r="FM54" t="e">
        <f>AND(#REF!,"AAAAAH/+jKg=")</f>
        <v>#REF!</v>
      </c>
      <c r="FN54" t="e">
        <f>AND(#REF!,"AAAAAH/+jKk=")</f>
        <v>#REF!</v>
      </c>
      <c r="FO54" t="e">
        <f>AND(#REF!,"AAAAAH/+jKo=")</f>
        <v>#REF!</v>
      </c>
      <c r="FP54" t="e">
        <f>AND(#REF!,"AAAAAH/+jKs=")</f>
        <v>#REF!</v>
      </c>
      <c r="FQ54" t="e">
        <f>AND(#REF!,"AAAAAH/+jKw=")</f>
        <v>#REF!</v>
      </c>
      <c r="FR54" t="e">
        <f>AND(#REF!,"AAAAAH/+jK0=")</f>
        <v>#REF!</v>
      </c>
      <c r="FS54" t="e">
        <f>AND(#REF!,"AAAAAH/+jK4=")</f>
        <v>#REF!</v>
      </c>
      <c r="FT54" t="e">
        <f>AND(#REF!,"AAAAAH/+jK8=")</f>
        <v>#REF!</v>
      </c>
      <c r="FU54" t="e">
        <f>AND(#REF!,"AAAAAH/+jLA=")</f>
        <v>#REF!</v>
      </c>
      <c r="FV54" t="e">
        <f>AND(#REF!,"AAAAAH/+jLE=")</f>
        <v>#REF!</v>
      </c>
      <c r="FW54" t="e">
        <f>AND(#REF!,"AAAAAH/+jLI=")</f>
        <v>#REF!</v>
      </c>
      <c r="FX54" t="e">
        <f>AND(#REF!,"AAAAAH/+jLM=")</f>
        <v>#REF!</v>
      </c>
      <c r="FY54" t="e">
        <f>AND(#REF!,"AAAAAH/+jLQ=")</f>
        <v>#REF!</v>
      </c>
      <c r="FZ54" t="e">
        <f>AND(#REF!,"AAAAAH/+jLU=")</f>
        <v>#REF!</v>
      </c>
      <c r="GA54" t="e">
        <f>AND(#REF!,"AAAAAH/+jLY=")</f>
        <v>#REF!</v>
      </c>
      <c r="GB54" t="e">
        <f>AND(#REF!,"AAAAAH/+jLc=")</f>
        <v>#REF!</v>
      </c>
      <c r="GC54" t="e">
        <f>AND(#REF!,"AAAAAH/+jLg=")</f>
        <v>#REF!</v>
      </c>
      <c r="GD54" t="e">
        <f>AND(#REF!,"AAAAAH/+jLk=")</f>
        <v>#REF!</v>
      </c>
      <c r="GE54" t="e">
        <f>AND(#REF!,"AAAAAH/+jLo=")</f>
        <v>#REF!</v>
      </c>
      <c r="GF54" t="e">
        <f>AND(#REF!,"AAAAAH/+jLs=")</f>
        <v>#REF!</v>
      </c>
      <c r="GG54" t="e">
        <f>AND(#REF!,"AAAAAH/+jLw=")</f>
        <v>#REF!</v>
      </c>
      <c r="GH54" t="e">
        <f>AND(#REF!,"AAAAAH/+jL0=")</f>
        <v>#REF!</v>
      </c>
      <c r="GI54" t="e">
        <f>AND(#REF!,"AAAAAH/+jL4=")</f>
        <v>#REF!</v>
      </c>
      <c r="GJ54" t="e">
        <f>AND(#REF!,"AAAAAH/+jL8=")</f>
        <v>#REF!</v>
      </c>
      <c r="GK54" t="e">
        <f>AND(#REF!,"AAAAAH/+jMA=")</f>
        <v>#REF!</v>
      </c>
      <c r="GL54" t="e">
        <f>IF(#REF!,"AAAAAH/+jME=",0)</f>
        <v>#REF!</v>
      </c>
      <c r="GM54" t="e">
        <f>AND(#REF!,"AAAAAH/+jMI=")</f>
        <v>#REF!</v>
      </c>
      <c r="GN54" t="e">
        <f>AND(#REF!,"AAAAAH/+jMM=")</f>
        <v>#REF!</v>
      </c>
      <c r="GO54" t="e">
        <f>AND(#REF!,"AAAAAH/+jMQ=")</f>
        <v>#REF!</v>
      </c>
      <c r="GP54" t="e">
        <f>AND(#REF!,"AAAAAH/+jMU=")</f>
        <v>#REF!</v>
      </c>
      <c r="GQ54" t="e">
        <f>AND(#REF!,"AAAAAH/+jMY=")</f>
        <v>#REF!</v>
      </c>
      <c r="GR54" t="e">
        <f>AND(#REF!,"AAAAAH/+jMc=")</f>
        <v>#REF!</v>
      </c>
      <c r="GS54" t="e">
        <f>AND(#REF!,"AAAAAH/+jMg=")</f>
        <v>#REF!</v>
      </c>
      <c r="GT54" t="e">
        <f>AND(#REF!,"AAAAAH/+jMk=")</f>
        <v>#REF!</v>
      </c>
      <c r="GU54" t="e">
        <f>AND(#REF!,"AAAAAH/+jMo=")</f>
        <v>#REF!</v>
      </c>
      <c r="GV54" t="e">
        <f>AND(#REF!,"AAAAAH/+jMs=")</f>
        <v>#REF!</v>
      </c>
      <c r="GW54" t="e">
        <f>AND(#REF!,"AAAAAH/+jMw=")</f>
        <v>#REF!</v>
      </c>
      <c r="GX54" t="e">
        <f>AND(#REF!,"AAAAAH/+jM0=")</f>
        <v>#REF!</v>
      </c>
      <c r="GY54" t="e">
        <f>AND(#REF!,"AAAAAH/+jM4=")</f>
        <v>#REF!</v>
      </c>
      <c r="GZ54" t="e">
        <f>AND(#REF!,"AAAAAH/+jM8=")</f>
        <v>#REF!</v>
      </c>
      <c r="HA54" t="e">
        <f>AND(#REF!,"AAAAAH/+jNA=")</f>
        <v>#REF!</v>
      </c>
      <c r="HB54" t="e">
        <f>AND(#REF!,"AAAAAH/+jNE=")</f>
        <v>#REF!</v>
      </c>
      <c r="HC54" t="e">
        <f>AND(#REF!,"AAAAAH/+jNI=")</f>
        <v>#REF!</v>
      </c>
      <c r="HD54" t="e">
        <f>AND(#REF!,"AAAAAH/+jNM=")</f>
        <v>#REF!</v>
      </c>
      <c r="HE54" t="e">
        <f>AND(#REF!,"AAAAAH/+jNQ=")</f>
        <v>#REF!</v>
      </c>
      <c r="HF54" t="e">
        <f>AND(#REF!,"AAAAAH/+jNU=")</f>
        <v>#REF!</v>
      </c>
      <c r="HG54" t="e">
        <f>AND(#REF!,"AAAAAH/+jNY=")</f>
        <v>#REF!</v>
      </c>
      <c r="HH54" t="e">
        <f>AND(#REF!,"AAAAAH/+jNc=")</f>
        <v>#REF!</v>
      </c>
      <c r="HI54" t="e">
        <f>AND(#REF!,"AAAAAH/+jNg=")</f>
        <v>#REF!</v>
      </c>
      <c r="HJ54" t="e">
        <f>AND(#REF!,"AAAAAH/+jNk=")</f>
        <v>#REF!</v>
      </c>
      <c r="HK54" t="e">
        <f>AND(#REF!,"AAAAAH/+jNo=")</f>
        <v>#REF!</v>
      </c>
      <c r="HL54" t="e">
        <f>AND(#REF!,"AAAAAH/+jNs=")</f>
        <v>#REF!</v>
      </c>
      <c r="HM54" t="e">
        <f>IF(#REF!,"AAAAAH/+jNw=",0)</f>
        <v>#REF!</v>
      </c>
      <c r="HN54" t="e">
        <f>AND(#REF!,"AAAAAH/+jN0=")</f>
        <v>#REF!</v>
      </c>
      <c r="HO54" t="e">
        <f>AND(#REF!,"AAAAAH/+jN4=")</f>
        <v>#REF!</v>
      </c>
      <c r="HP54" t="e">
        <f>AND(#REF!,"AAAAAH/+jN8=")</f>
        <v>#REF!</v>
      </c>
      <c r="HQ54" t="e">
        <f>AND(#REF!,"AAAAAH/+jOA=")</f>
        <v>#REF!</v>
      </c>
      <c r="HR54" t="e">
        <f>AND(#REF!,"AAAAAH/+jOE=")</f>
        <v>#REF!</v>
      </c>
      <c r="HS54" t="e">
        <f>AND(#REF!,"AAAAAH/+jOI=")</f>
        <v>#REF!</v>
      </c>
      <c r="HT54" t="e">
        <f>AND(#REF!,"AAAAAH/+jOM=")</f>
        <v>#REF!</v>
      </c>
      <c r="HU54" t="e">
        <f>AND(#REF!,"AAAAAH/+jOQ=")</f>
        <v>#REF!</v>
      </c>
      <c r="HV54" t="e">
        <f>AND(#REF!,"AAAAAH/+jOU=")</f>
        <v>#REF!</v>
      </c>
      <c r="HW54" t="e">
        <f>AND(#REF!,"AAAAAH/+jOY=")</f>
        <v>#REF!</v>
      </c>
      <c r="HX54" t="e">
        <f>AND(#REF!,"AAAAAH/+jOc=")</f>
        <v>#REF!</v>
      </c>
      <c r="HY54" t="e">
        <f>AND(#REF!,"AAAAAH/+jOg=")</f>
        <v>#REF!</v>
      </c>
      <c r="HZ54" t="e">
        <f>AND(#REF!,"AAAAAH/+jOk=")</f>
        <v>#REF!</v>
      </c>
      <c r="IA54" t="e">
        <f>AND(#REF!,"AAAAAH/+jOo=")</f>
        <v>#REF!</v>
      </c>
      <c r="IB54" t="e">
        <f>AND(#REF!,"AAAAAH/+jOs=")</f>
        <v>#REF!</v>
      </c>
      <c r="IC54" t="e">
        <f>AND(#REF!,"AAAAAH/+jOw=")</f>
        <v>#REF!</v>
      </c>
      <c r="ID54" t="e">
        <f>AND(#REF!,"AAAAAH/+jO0=")</f>
        <v>#REF!</v>
      </c>
      <c r="IE54" t="e">
        <f>AND(#REF!,"AAAAAH/+jO4=")</f>
        <v>#REF!</v>
      </c>
      <c r="IF54" t="e">
        <f>AND(#REF!,"AAAAAH/+jO8=")</f>
        <v>#REF!</v>
      </c>
      <c r="IG54" t="e">
        <f>AND(#REF!,"AAAAAH/+jPA=")</f>
        <v>#REF!</v>
      </c>
      <c r="IH54" t="e">
        <f>AND(#REF!,"AAAAAH/+jPE=")</f>
        <v>#REF!</v>
      </c>
      <c r="II54" t="e">
        <f>AND(#REF!,"AAAAAH/+jPI=")</f>
        <v>#REF!</v>
      </c>
      <c r="IJ54" t="e">
        <f>AND(#REF!,"AAAAAH/+jPM=")</f>
        <v>#REF!</v>
      </c>
      <c r="IK54" t="e">
        <f>AND(#REF!,"AAAAAH/+jPQ=")</f>
        <v>#REF!</v>
      </c>
      <c r="IL54" t="e">
        <f>AND(#REF!,"AAAAAH/+jPU=")</f>
        <v>#REF!</v>
      </c>
      <c r="IM54" t="e">
        <f>AND(#REF!,"AAAAAH/+jPY=")</f>
        <v>#REF!</v>
      </c>
      <c r="IN54" t="e">
        <f>IF(#REF!,"AAAAAH/+jPc=",0)</f>
        <v>#REF!</v>
      </c>
      <c r="IO54" t="e">
        <f>AND(#REF!,"AAAAAH/+jPg=")</f>
        <v>#REF!</v>
      </c>
      <c r="IP54" t="e">
        <f>AND(#REF!,"AAAAAH/+jPk=")</f>
        <v>#REF!</v>
      </c>
      <c r="IQ54" t="e">
        <f>AND(#REF!,"AAAAAH/+jPo=")</f>
        <v>#REF!</v>
      </c>
      <c r="IR54" t="e">
        <f>AND(#REF!,"AAAAAH/+jPs=")</f>
        <v>#REF!</v>
      </c>
      <c r="IS54" t="e">
        <f>AND(#REF!,"AAAAAH/+jPw=")</f>
        <v>#REF!</v>
      </c>
      <c r="IT54" t="e">
        <f>AND(#REF!,"AAAAAH/+jP0=")</f>
        <v>#REF!</v>
      </c>
      <c r="IU54" t="e">
        <f>AND(#REF!,"AAAAAH/+jP4=")</f>
        <v>#REF!</v>
      </c>
      <c r="IV54" t="e">
        <f>AND(#REF!,"AAAAAH/+jP8=")</f>
        <v>#REF!</v>
      </c>
    </row>
    <row r="55" spans="1:256" x14ac:dyDescent="0.2">
      <c r="A55" t="e">
        <f>AND(#REF!,"AAAAAE/99wA=")</f>
        <v>#REF!</v>
      </c>
      <c r="B55" t="e">
        <f>AND(#REF!,"AAAAAE/99wE=")</f>
        <v>#REF!</v>
      </c>
      <c r="C55" t="e">
        <f>AND(#REF!,"AAAAAE/99wI=")</f>
        <v>#REF!</v>
      </c>
      <c r="D55" t="e">
        <f>AND(#REF!,"AAAAAE/99wM=")</f>
        <v>#REF!</v>
      </c>
      <c r="E55" t="e">
        <f>AND(#REF!,"AAAAAE/99wQ=")</f>
        <v>#REF!</v>
      </c>
      <c r="F55" t="e">
        <f>AND(#REF!,"AAAAAE/99wU=")</f>
        <v>#REF!</v>
      </c>
      <c r="G55" t="e">
        <f>AND(#REF!,"AAAAAE/99wY=")</f>
        <v>#REF!</v>
      </c>
      <c r="H55" t="e">
        <f>AND(#REF!,"AAAAAE/99wc=")</f>
        <v>#REF!</v>
      </c>
      <c r="I55" t="e">
        <f>AND(#REF!,"AAAAAE/99wg=")</f>
        <v>#REF!</v>
      </c>
      <c r="J55" t="e">
        <f>AND(#REF!,"AAAAAE/99wk=")</f>
        <v>#REF!</v>
      </c>
      <c r="K55" t="e">
        <f>AND(#REF!,"AAAAAE/99wo=")</f>
        <v>#REF!</v>
      </c>
      <c r="L55" t="e">
        <f>AND(#REF!,"AAAAAE/99ws=")</f>
        <v>#REF!</v>
      </c>
      <c r="M55" t="e">
        <f>AND(#REF!,"AAAAAE/99ww=")</f>
        <v>#REF!</v>
      </c>
      <c r="N55" t="e">
        <f>AND(#REF!,"AAAAAE/99w0=")</f>
        <v>#REF!</v>
      </c>
      <c r="O55" t="e">
        <f>AND(#REF!,"AAAAAE/99w4=")</f>
        <v>#REF!</v>
      </c>
      <c r="P55" t="e">
        <f>AND(#REF!,"AAAAAE/99w8=")</f>
        <v>#REF!</v>
      </c>
      <c r="Q55" t="e">
        <f>AND(#REF!,"AAAAAE/99xA=")</f>
        <v>#REF!</v>
      </c>
      <c r="R55" t="e">
        <f>AND(#REF!,"AAAAAE/99xE=")</f>
        <v>#REF!</v>
      </c>
      <c r="S55" t="e">
        <f>IF(#REF!,"AAAAAE/99xI=",0)</f>
        <v>#REF!</v>
      </c>
      <c r="T55" t="e">
        <f>AND(#REF!,"AAAAAE/99xM=")</f>
        <v>#REF!</v>
      </c>
      <c r="U55" t="e">
        <f>AND(#REF!,"AAAAAE/99xQ=")</f>
        <v>#REF!</v>
      </c>
      <c r="V55" t="e">
        <f>AND(#REF!,"AAAAAE/99xU=")</f>
        <v>#REF!</v>
      </c>
      <c r="W55" t="e">
        <f>AND(#REF!,"AAAAAE/99xY=")</f>
        <v>#REF!</v>
      </c>
      <c r="X55" t="e">
        <f>AND(#REF!,"AAAAAE/99xc=")</f>
        <v>#REF!</v>
      </c>
      <c r="Y55" t="e">
        <f>AND(#REF!,"AAAAAE/99xg=")</f>
        <v>#REF!</v>
      </c>
      <c r="Z55" t="e">
        <f>AND(#REF!,"AAAAAE/99xk=")</f>
        <v>#REF!</v>
      </c>
      <c r="AA55" t="e">
        <f>AND(#REF!,"AAAAAE/99xo=")</f>
        <v>#REF!</v>
      </c>
      <c r="AB55" t="e">
        <f>AND(#REF!,"AAAAAE/99xs=")</f>
        <v>#REF!</v>
      </c>
      <c r="AC55" t="e">
        <f>AND(#REF!,"AAAAAE/99xw=")</f>
        <v>#REF!</v>
      </c>
      <c r="AD55" t="e">
        <f>AND(#REF!,"AAAAAE/99x0=")</f>
        <v>#REF!</v>
      </c>
      <c r="AE55" t="e">
        <f>AND(#REF!,"AAAAAE/99x4=")</f>
        <v>#REF!</v>
      </c>
      <c r="AF55" t="e">
        <f>AND(#REF!,"AAAAAE/99x8=")</f>
        <v>#REF!</v>
      </c>
      <c r="AG55" t="e">
        <f>AND(#REF!,"AAAAAE/99yA=")</f>
        <v>#REF!</v>
      </c>
      <c r="AH55" t="e">
        <f>AND(#REF!,"AAAAAE/99yE=")</f>
        <v>#REF!</v>
      </c>
      <c r="AI55" t="e">
        <f>AND(#REF!,"AAAAAE/99yI=")</f>
        <v>#REF!</v>
      </c>
      <c r="AJ55" t="e">
        <f>AND(#REF!,"AAAAAE/99yM=")</f>
        <v>#REF!</v>
      </c>
      <c r="AK55" t="e">
        <f>AND(#REF!,"AAAAAE/99yQ=")</f>
        <v>#REF!</v>
      </c>
      <c r="AL55" t="e">
        <f>AND(#REF!,"AAAAAE/99yU=")</f>
        <v>#REF!</v>
      </c>
      <c r="AM55" t="e">
        <f>AND(#REF!,"AAAAAE/99yY=")</f>
        <v>#REF!</v>
      </c>
      <c r="AN55" t="e">
        <f>AND(#REF!,"AAAAAE/99yc=")</f>
        <v>#REF!</v>
      </c>
      <c r="AO55" t="e">
        <f>AND(#REF!,"AAAAAE/99yg=")</f>
        <v>#REF!</v>
      </c>
      <c r="AP55" t="e">
        <f>AND(#REF!,"AAAAAE/99yk=")</f>
        <v>#REF!</v>
      </c>
      <c r="AQ55" t="e">
        <f>AND(#REF!,"AAAAAE/99yo=")</f>
        <v>#REF!</v>
      </c>
      <c r="AR55" t="e">
        <f>AND(#REF!,"AAAAAE/99ys=")</f>
        <v>#REF!</v>
      </c>
      <c r="AS55" t="e">
        <f>AND(#REF!,"AAAAAE/99yw=")</f>
        <v>#REF!</v>
      </c>
      <c r="AT55" t="e">
        <f>IF(#REF!,"AAAAAE/99y0=",0)</f>
        <v>#REF!</v>
      </c>
      <c r="AU55" t="e">
        <f>AND(#REF!,"AAAAAE/99y4=")</f>
        <v>#REF!</v>
      </c>
      <c r="AV55" t="e">
        <f>AND(#REF!,"AAAAAE/99y8=")</f>
        <v>#REF!</v>
      </c>
      <c r="AW55" t="e">
        <f>AND(#REF!,"AAAAAE/99zA=")</f>
        <v>#REF!</v>
      </c>
      <c r="AX55" t="e">
        <f>AND(#REF!,"AAAAAE/99zE=")</f>
        <v>#REF!</v>
      </c>
      <c r="AY55" t="e">
        <f>AND(#REF!,"AAAAAE/99zI=")</f>
        <v>#REF!</v>
      </c>
      <c r="AZ55" t="e">
        <f>AND(#REF!,"AAAAAE/99zM=")</f>
        <v>#REF!</v>
      </c>
      <c r="BA55" t="e">
        <f>AND(#REF!,"AAAAAE/99zQ=")</f>
        <v>#REF!</v>
      </c>
      <c r="BB55" t="e">
        <f>AND(#REF!,"AAAAAE/99zU=")</f>
        <v>#REF!</v>
      </c>
      <c r="BC55" t="e">
        <f>AND(#REF!,"AAAAAE/99zY=")</f>
        <v>#REF!</v>
      </c>
      <c r="BD55" t="e">
        <f>AND(#REF!,"AAAAAE/99zc=")</f>
        <v>#REF!</v>
      </c>
      <c r="BE55" t="e">
        <f>AND(#REF!,"AAAAAE/99zg=")</f>
        <v>#REF!</v>
      </c>
      <c r="BF55" t="e">
        <f>AND(#REF!,"AAAAAE/99zk=")</f>
        <v>#REF!</v>
      </c>
      <c r="BG55" t="e">
        <f>AND(#REF!,"AAAAAE/99zo=")</f>
        <v>#REF!</v>
      </c>
      <c r="BH55" t="e">
        <f>AND(#REF!,"AAAAAE/99zs=")</f>
        <v>#REF!</v>
      </c>
      <c r="BI55" t="e">
        <f>AND(#REF!,"AAAAAE/99zw=")</f>
        <v>#REF!</v>
      </c>
      <c r="BJ55" t="e">
        <f>AND(#REF!,"AAAAAE/99z0=")</f>
        <v>#REF!</v>
      </c>
      <c r="BK55" t="e">
        <f>AND(#REF!,"AAAAAE/99z4=")</f>
        <v>#REF!</v>
      </c>
      <c r="BL55" t="e">
        <f>AND(#REF!,"AAAAAE/99z8=")</f>
        <v>#REF!</v>
      </c>
      <c r="BM55" t="e">
        <f>AND(#REF!,"AAAAAE/990A=")</f>
        <v>#REF!</v>
      </c>
      <c r="BN55" t="e">
        <f>AND(#REF!,"AAAAAE/990E=")</f>
        <v>#REF!</v>
      </c>
      <c r="BO55" t="e">
        <f>AND(#REF!,"AAAAAE/990I=")</f>
        <v>#REF!</v>
      </c>
      <c r="BP55" t="e">
        <f>AND(#REF!,"AAAAAE/990M=")</f>
        <v>#REF!</v>
      </c>
      <c r="BQ55" t="e">
        <f>AND(#REF!,"AAAAAE/990Q=")</f>
        <v>#REF!</v>
      </c>
      <c r="BR55" t="e">
        <f>AND(#REF!,"AAAAAE/990U=")</f>
        <v>#REF!</v>
      </c>
      <c r="BS55" t="e">
        <f>AND(#REF!,"AAAAAE/990Y=")</f>
        <v>#REF!</v>
      </c>
      <c r="BT55" t="e">
        <f>AND(#REF!,"AAAAAE/990c=")</f>
        <v>#REF!</v>
      </c>
      <c r="BU55" t="e">
        <f>IF(#REF!,"AAAAAE/990g=",0)</f>
        <v>#REF!</v>
      </c>
      <c r="BV55" t="e">
        <f>AND(#REF!,"AAAAAE/990k=")</f>
        <v>#REF!</v>
      </c>
      <c r="BW55" t="e">
        <f>AND(#REF!,"AAAAAE/990o=")</f>
        <v>#REF!</v>
      </c>
      <c r="BX55" t="e">
        <f>AND(#REF!,"AAAAAE/990s=")</f>
        <v>#REF!</v>
      </c>
      <c r="BY55" t="e">
        <f>AND(#REF!,"AAAAAE/990w=")</f>
        <v>#REF!</v>
      </c>
      <c r="BZ55" t="e">
        <f>AND(#REF!,"AAAAAE/9900=")</f>
        <v>#REF!</v>
      </c>
      <c r="CA55" t="e">
        <f>AND(#REF!,"AAAAAE/9904=")</f>
        <v>#REF!</v>
      </c>
      <c r="CB55" t="e">
        <f>AND(#REF!,"AAAAAE/9908=")</f>
        <v>#REF!</v>
      </c>
      <c r="CC55" t="e">
        <f>AND(#REF!,"AAAAAE/991A=")</f>
        <v>#REF!</v>
      </c>
      <c r="CD55" t="e">
        <f>AND(#REF!,"AAAAAE/991E=")</f>
        <v>#REF!</v>
      </c>
      <c r="CE55" t="e">
        <f>AND(#REF!,"AAAAAE/991I=")</f>
        <v>#REF!</v>
      </c>
      <c r="CF55" t="e">
        <f>AND(#REF!,"AAAAAE/991M=")</f>
        <v>#REF!</v>
      </c>
      <c r="CG55" t="e">
        <f>AND(#REF!,"AAAAAE/991Q=")</f>
        <v>#REF!</v>
      </c>
      <c r="CH55" t="e">
        <f>AND(#REF!,"AAAAAE/991U=")</f>
        <v>#REF!</v>
      </c>
      <c r="CI55" t="e">
        <f>AND(#REF!,"AAAAAE/991Y=")</f>
        <v>#REF!</v>
      </c>
      <c r="CJ55" t="e">
        <f>AND(#REF!,"AAAAAE/991c=")</f>
        <v>#REF!</v>
      </c>
      <c r="CK55" t="e">
        <f>AND(#REF!,"AAAAAE/991g=")</f>
        <v>#REF!</v>
      </c>
      <c r="CL55" t="e">
        <f>AND(#REF!,"AAAAAE/991k=")</f>
        <v>#REF!</v>
      </c>
      <c r="CM55" t="e">
        <f>AND(#REF!,"AAAAAE/991o=")</f>
        <v>#REF!</v>
      </c>
      <c r="CN55" t="e">
        <f>AND(#REF!,"AAAAAE/991s=")</f>
        <v>#REF!</v>
      </c>
      <c r="CO55" t="e">
        <f>AND(#REF!,"AAAAAE/991w=")</f>
        <v>#REF!</v>
      </c>
      <c r="CP55" t="e">
        <f>AND(#REF!,"AAAAAE/9910=")</f>
        <v>#REF!</v>
      </c>
      <c r="CQ55" t="e">
        <f>AND(#REF!,"AAAAAE/9914=")</f>
        <v>#REF!</v>
      </c>
      <c r="CR55" t="e">
        <f>AND(#REF!,"AAAAAE/9918=")</f>
        <v>#REF!</v>
      </c>
      <c r="CS55" t="e">
        <f>AND(#REF!,"AAAAAE/992A=")</f>
        <v>#REF!</v>
      </c>
      <c r="CT55" t="e">
        <f>AND(#REF!,"AAAAAE/992E=")</f>
        <v>#REF!</v>
      </c>
      <c r="CU55" t="e">
        <f>AND(#REF!,"AAAAAE/992I=")</f>
        <v>#REF!</v>
      </c>
      <c r="CV55" t="e">
        <f>IF(#REF!,"AAAAAE/992M=",0)</f>
        <v>#REF!</v>
      </c>
      <c r="CW55" t="e">
        <f>AND(#REF!,"AAAAAE/992Q=")</f>
        <v>#REF!</v>
      </c>
      <c r="CX55" t="e">
        <f>AND(#REF!,"AAAAAE/992U=")</f>
        <v>#REF!</v>
      </c>
      <c r="CY55" t="e">
        <f>AND(#REF!,"AAAAAE/992Y=")</f>
        <v>#REF!</v>
      </c>
      <c r="CZ55" t="e">
        <f>AND(#REF!,"AAAAAE/992c=")</f>
        <v>#REF!</v>
      </c>
      <c r="DA55" t="e">
        <f>AND(#REF!,"AAAAAE/992g=")</f>
        <v>#REF!</v>
      </c>
      <c r="DB55" t="e">
        <f>AND(#REF!,"AAAAAE/992k=")</f>
        <v>#REF!</v>
      </c>
      <c r="DC55" t="e">
        <f>AND(#REF!,"AAAAAE/992o=")</f>
        <v>#REF!</v>
      </c>
      <c r="DD55" t="e">
        <f>AND(#REF!,"AAAAAE/992s=")</f>
        <v>#REF!</v>
      </c>
      <c r="DE55" t="e">
        <f>AND(#REF!,"AAAAAE/992w=")</f>
        <v>#REF!</v>
      </c>
      <c r="DF55" t="e">
        <f>AND(#REF!,"AAAAAE/9920=")</f>
        <v>#REF!</v>
      </c>
      <c r="DG55" t="e">
        <f>AND(#REF!,"AAAAAE/9924=")</f>
        <v>#REF!</v>
      </c>
      <c r="DH55" t="e">
        <f>AND(#REF!,"AAAAAE/9928=")</f>
        <v>#REF!</v>
      </c>
      <c r="DI55" t="e">
        <f>AND(#REF!,"AAAAAE/993A=")</f>
        <v>#REF!</v>
      </c>
      <c r="DJ55" t="e">
        <f>AND(#REF!,"AAAAAE/993E=")</f>
        <v>#REF!</v>
      </c>
      <c r="DK55" t="e">
        <f>AND(#REF!,"AAAAAE/993I=")</f>
        <v>#REF!</v>
      </c>
      <c r="DL55" t="e">
        <f>AND(#REF!,"AAAAAE/993M=")</f>
        <v>#REF!</v>
      </c>
      <c r="DM55" t="e">
        <f>AND(#REF!,"AAAAAE/993Q=")</f>
        <v>#REF!</v>
      </c>
      <c r="DN55" t="e">
        <f>AND(#REF!,"AAAAAE/993U=")</f>
        <v>#REF!</v>
      </c>
      <c r="DO55" t="e">
        <f>AND(#REF!,"AAAAAE/993Y=")</f>
        <v>#REF!</v>
      </c>
      <c r="DP55" t="e">
        <f>AND(#REF!,"AAAAAE/993c=")</f>
        <v>#REF!</v>
      </c>
      <c r="DQ55" t="e">
        <f>AND(#REF!,"AAAAAE/993g=")</f>
        <v>#REF!</v>
      </c>
      <c r="DR55" t="e">
        <f>AND(#REF!,"AAAAAE/993k=")</f>
        <v>#REF!</v>
      </c>
      <c r="DS55" t="e">
        <f>AND(#REF!,"AAAAAE/993o=")</f>
        <v>#REF!</v>
      </c>
      <c r="DT55" t="e">
        <f>AND(#REF!,"AAAAAE/993s=")</f>
        <v>#REF!</v>
      </c>
      <c r="DU55" t="e">
        <f>AND(#REF!,"AAAAAE/993w=")</f>
        <v>#REF!</v>
      </c>
      <c r="DV55" t="e">
        <f>AND(#REF!,"AAAAAE/9930=")</f>
        <v>#REF!</v>
      </c>
      <c r="DW55" t="e">
        <f>IF(#REF!,"AAAAAE/9934=",0)</f>
        <v>#REF!</v>
      </c>
      <c r="DX55" t="e">
        <f>AND(#REF!,"AAAAAE/9938=")</f>
        <v>#REF!</v>
      </c>
      <c r="DY55" t="e">
        <f>AND(#REF!,"AAAAAE/994A=")</f>
        <v>#REF!</v>
      </c>
      <c r="DZ55" t="e">
        <f>AND(#REF!,"AAAAAE/994E=")</f>
        <v>#REF!</v>
      </c>
      <c r="EA55" t="e">
        <f>AND(#REF!,"AAAAAE/994I=")</f>
        <v>#REF!</v>
      </c>
      <c r="EB55" t="e">
        <f>AND(#REF!,"AAAAAE/994M=")</f>
        <v>#REF!</v>
      </c>
      <c r="EC55" t="e">
        <f>AND(#REF!,"AAAAAE/994Q=")</f>
        <v>#REF!</v>
      </c>
      <c r="ED55" t="e">
        <f>AND(#REF!,"AAAAAE/994U=")</f>
        <v>#REF!</v>
      </c>
      <c r="EE55" t="e">
        <f>AND(#REF!,"AAAAAE/994Y=")</f>
        <v>#REF!</v>
      </c>
      <c r="EF55" t="e">
        <f>AND(#REF!,"AAAAAE/994c=")</f>
        <v>#REF!</v>
      </c>
      <c r="EG55" t="e">
        <f>AND(#REF!,"AAAAAE/994g=")</f>
        <v>#REF!</v>
      </c>
      <c r="EH55" t="e">
        <f>AND(#REF!,"AAAAAE/994k=")</f>
        <v>#REF!</v>
      </c>
      <c r="EI55" t="e">
        <f>AND(#REF!,"AAAAAE/994o=")</f>
        <v>#REF!</v>
      </c>
      <c r="EJ55" t="e">
        <f>AND(#REF!,"AAAAAE/994s=")</f>
        <v>#REF!</v>
      </c>
      <c r="EK55" t="e">
        <f>AND(#REF!,"AAAAAE/994w=")</f>
        <v>#REF!</v>
      </c>
      <c r="EL55" t="e">
        <f>AND(#REF!,"AAAAAE/9940=")</f>
        <v>#REF!</v>
      </c>
      <c r="EM55" t="e">
        <f>AND(#REF!,"AAAAAE/9944=")</f>
        <v>#REF!</v>
      </c>
      <c r="EN55" t="e">
        <f>AND(#REF!,"AAAAAE/9948=")</f>
        <v>#REF!</v>
      </c>
      <c r="EO55" t="e">
        <f>AND(#REF!,"AAAAAE/995A=")</f>
        <v>#REF!</v>
      </c>
      <c r="EP55" t="e">
        <f>AND(#REF!,"AAAAAE/995E=")</f>
        <v>#REF!</v>
      </c>
      <c r="EQ55" t="e">
        <f>AND(#REF!,"AAAAAE/995I=")</f>
        <v>#REF!</v>
      </c>
      <c r="ER55" t="e">
        <f>AND(#REF!,"AAAAAE/995M=")</f>
        <v>#REF!</v>
      </c>
      <c r="ES55" t="e">
        <f>AND(#REF!,"AAAAAE/995Q=")</f>
        <v>#REF!</v>
      </c>
      <c r="ET55" t="e">
        <f>AND(#REF!,"AAAAAE/995U=")</f>
        <v>#REF!</v>
      </c>
      <c r="EU55" t="e">
        <f>AND(#REF!,"AAAAAE/995Y=")</f>
        <v>#REF!</v>
      </c>
      <c r="EV55" t="e">
        <f>AND(#REF!,"AAAAAE/995c=")</f>
        <v>#REF!</v>
      </c>
      <c r="EW55" t="e">
        <f>AND(#REF!,"AAAAAE/995g=")</f>
        <v>#REF!</v>
      </c>
      <c r="EX55" t="e">
        <f>IF(#REF!,"AAAAAE/995k=",0)</f>
        <v>#REF!</v>
      </c>
      <c r="EY55" t="e">
        <f>AND(#REF!,"AAAAAE/995o=")</f>
        <v>#REF!</v>
      </c>
      <c r="EZ55" t="e">
        <f>AND(#REF!,"AAAAAE/995s=")</f>
        <v>#REF!</v>
      </c>
      <c r="FA55" t="e">
        <f>AND(#REF!,"AAAAAE/995w=")</f>
        <v>#REF!</v>
      </c>
      <c r="FB55" t="e">
        <f>AND(#REF!,"AAAAAE/9950=")</f>
        <v>#REF!</v>
      </c>
      <c r="FC55" t="e">
        <f>AND(#REF!,"AAAAAE/9954=")</f>
        <v>#REF!</v>
      </c>
      <c r="FD55" t="e">
        <f>AND(#REF!,"AAAAAE/9958=")</f>
        <v>#REF!</v>
      </c>
      <c r="FE55" t="e">
        <f>AND(#REF!,"AAAAAE/996A=")</f>
        <v>#REF!</v>
      </c>
      <c r="FF55" t="e">
        <f>AND(#REF!,"AAAAAE/996E=")</f>
        <v>#REF!</v>
      </c>
      <c r="FG55" t="e">
        <f>AND(#REF!,"AAAAAE/996I=")</f>
        <v>#REF!</v>
      </c>
      <c r="FH55" t="e">
        <f>AND(#REF!,"AAAAAE/996M=")</f>
        <v>#REF!</v>
      </c>
      <c r="FI55" t="e">
        <f>AND(#REF!,"AAAAAE/996Q=")</f>
        <v>#REF!</v>
      </c>
      <c r="FJ55" t="e">
        <f>AND(#REF!,"AAAAAE/996U=")</f>
        <v>#REF!</v>
      </c>
      <c r="FK55" t="e">
        <f>AND(#REF!,"AAAAAE/996Y=")</f>
        <v>#REF!</v>
      </c>
      <c r="FL55" t="e">
        <f>AND(#REF!,"AAAAAE/996c=")</f>
        <v>#REF!</v>
      </c>
      <c r="FM55" t="e">
        <f>AND(#REF!,"AAAAAE/996g=")</f>
        <v>#REF!</v>
      </c>
      <c r="FN55" t="e">
        <f>AND(#REF!,"AAAAAE/996k=")</f>
        <v>#REF!</v>
      </c>
      <c r="FO55" t="e">
        <f>AND(#REF!,"AAAAAE/996o=")</f>
        <v>#REF!</v>
      </c>
      <c r="FP55" t="e">
        <f>AND(#REF!,"AAAAAE/996s=")</f>
        <v>#REF!</v>
      </c>
      <c r="FQ55" t="e">
        <f>AND(#REF!,"AAAAAE/996w=")</f>
        <v>#REF!</v>
      </c>
      <c r="FR55" t="e">
        <f>AND(#REF!,"AAAAAE/9960=")</f>
        <v>#REF!</v>
      </c>
      <c r="FS55" t="e">
        <f>AND(#REF!,"AAAAAE/9964=")</f>
        <v>#REF!</v>
      </c>
      <c r="FT55" t="e">
        <f>AND(#REF!,"AAAAAE/9968=")</f>
        <v>#REF!</v>
      </c>
      <c r="FU55" t="e">
        <f>AND(#REF!,"AAAAAE/997A=")</f>
        <v>#REF!</v>
      </c>
      <c r="FV55" t="e">
        <f>AND(#REF!,"AAAAAE/997E=")</f>
        <v>#REF!</v>
      </c>
      <c r="FW55" t="e">
        <f>AND(#REF!,"AAAAAE/997I=")</f>
        <v>#REF!</v>
      </c>
      <c r="FX55" t="e">
        <f>AND(#REF!,"AAAAAE/997M=")</f>
        <v>#REF!</v>
      </c>
      <c r="FY55" t="e">
        <f>IF(#REF!,"AAAAAE/997Q=",0)</f>
        <v>#REF!</v>
      </c>
      <c r="FZ55" t="e">
        <f>IF(#REF!,"AAAAAE/997U=",0)</f>
        <v>#REF!</v>
      </c>
      <c r="GA55" t="e">
        <f>IF(#REF!,"AAAAAE/997Y=",0)</f>
        <v>#REF!</v>
      </c>
      <c r="GB55" t="e">
        <f>IF(#REF!,"AAAAAE/997c=",0)</f>
        <v>#REF!</v>
      </c>
      <c r="GC55" t="e">
        <f>IF(#REF!,"AAAAAE/997g=",0)</f>
        <v>#REF!</v>
      </c>
      <c r="GD55" t="e">
        <f>IF(#REF!,"AAAAAE/997k=",0)</f>
        <v>#REF!</v>
      </c>
      <c r="GE55" t="e">
        <f>IF(#REF!,"AAAAAE/997o=",0)</f>
        <v>#REF!</v>
      </c>
      <c r="GF55" t="e">
        <f>IF(#REF!,"AAAAAE/997s=",0)</f>
        <v>#REF!</v>
      </c>
      <c r="GG55" t="e">
        <f>IF(#REF!,"AAAAAE/997w=",0)</f>
        <v>#REF!</v>
      </c>
      <c r="GH55" t="e">
        <f>IF(#REF!,"AAAAAE/9970=",0)</f>
        <v>#REF!</v>
      </c>
      <c r="GI55" t="e">
        <f>IF(#REF!,"AAAAAE/9974=",0)</f>
        <v>#REF!</v>
      </c>
      <c r="GJ55" t="e">
        <f>IF(#REF!,"AAAAAE/9978=",0)</f>
        <v>#REF!</v>
      </c>
      <c r="GK55" t="e">
        <f>IF(#REF!,"AAAAAE/998A=",0)</f>
        <v>#REF!</v>
      </c>
      <c r="GL55" t="e">
        <f>IF(#REF!,"AAAAAE/998E=",0)</f>
        <v>#REF!</v>
      </c>
      <c r="GM55" t="e">
        <f>IF(#REF!,"AAAAAE/998I=",0)</f>
        <v>#REF!</v>
      </c>
      <c r="GN55" t="e">
        <f>IF(#REF!,"AAAAAE/998M=",0)</f>
        <v>#REF!</v>
      </c>
      <c r="GO55" t="e">
        <f>IF(#REF!,"AAAAAE/998Q=",0)</f>
        <v>#REF!</v>
      </c>
      <c r="GP55" t="e">
        <f>IF(#REF!,"AAAAAE/998U=",0)</f>
        <v>#REF!</v>
      </c>
      <c r="GQ55" t="e">
        <f>IF(#REF!,"AAAAAE/998Y=",0)</f>
        <v>#REF!</v>
      </c>
      <c r="GR55" t="e">
        <f>IF(#REF!,"AAAAAE/998c=",0)</f>
        <v>#REF!</v>
      </c>
      <c r="GS55" t="e">
        <f>IF(#REF!,"AAAAAE/998g=",0)</f>
        <v>#REF!</v>
      </c>
      <c r="GT55" t="e">
        <f>IF(#REF!,"AAAAAE/998k=",0)</f>
        <v>#REF!</v>
      </c>
      <c r="GU55" t="e">
        <f>IF(#REF!,"AAAAAE/998o=",0)</f>
        <v>#REF!</v>
      </c>
      <c r="GV55" t="e">
        <f>IF(#REF!,"AAAAAE/998s=",0)</f>
        <v>#REF!</v>
      </c>
      <c r="GW55" t="e">
        <f>IF(#REF!,"AAAAAE/998w=",0)</f>
        <v>#REF!</v>
      </c>
      <c r="GX55" t="e">
        <f>IF(#REF!,"AAAAAE/9980=",0)</f>
        <v>#REF!</v>
      </c>
      <c r="GY55" t="e">
        <f>IF(#REF!,"AAAAAE/9984=",0)</f>
        <v>#REF!</v>
      </c>
      <c r="GZ55" t="e">
        <f>AND(#REF!,"AAAAAE/9988=")</f>
        <v>#REF!</v>
      </c>
      <c r="HA55" t="e">
        <f>AND(#REF!,"AAAAAE/999A=")</f>
        <v>#REF!</v>
      </c>
      <c r="HB55" t="e">
        <f>AND(#REF!,"AAAAAE/999E=")</f>
        <v>#REF!</v>
      </c>
      <c r="HC55" t="e">
        <f>AND(#REF!,"AAAAAE/999I=")</f>
        <v>#REF!</v>
      </c>
      <c r="HD55" t="e">
        <f>AND(#REF!,"AAAAAE/999M=")</f>
        <v>#REF!</v>
      </c>
      <c r="HE55" t="e">
        <f>AND(#REF!,"AAAAAE/999Q=")</f>
        <v>#REF!</v>
      </c>
      <c r="HF55" t="e">
        <f>AND(#REF!,"AAAAAE/999U=")</f>
        <v>#REF!</v>
      </c>
      <c r="HG55" t="e">
        <f>AND(#REF!,"AAAAAE/999Y=")</f>
        <v>#REF!</v>
      </c>
      <c r="HH55" t="e">
        <f>AND(#REF!,"AAAAAE/999c=")</f>
        <v>#REF!</v>
      </c>
      <c r="HI55" t="e">
        <f>AND(#REF!,"AAAAAE/999g=")</f>
        <v>#REF!</v>
      </c>
      <c r="HJ55" t="e">
        <f>AND(#REF!,"AAAAAE/999k=")</f>
        <v>#REF!</v>
      </c>
      <c r="HK55" t="e">
        <f>AND(#REF!,"AAAAAE/999o=")</f>
        <v>#REF!</v>
      </c>
      <c r="HL55" t="e">
        <f>AND(#REF!,"AAAAAE/999s=")</f>
        <v>#REF!</v>
      </c>
      <c r="HM55" t="e">
        <f>AND(#REF!,"AAAAAE/999w=")</f>
        <v>#REF!</v>
      </c>
      <c r="HN55" t="e">
        <f>AND(#REF!,"AAAAAE/9990=")</f>
        <v>#REF!</v>
      </c>
      <c r="HO55" t="e">
        <f>AND(#REF!,"AAAAAE/9994=")</f>
        <v>#REF!</v>
      </c>
      <c r="HP55" t="e">
        <f>AND(#REF!,"AAAAAE/9998=")</f>
        <v>#REF!</v>
      </c>
      <c r="HQ55" t="e">
        <f>AND(#REF!,"AAAAAE/99+A=")</f>
        <v>#REF!</v>
      </c>
      <c r="HR55" t="e">
        <f>AND(#REF!,"AAAAAE/99+E=")</f>
        <v>#REF!</v>
      </c>
      <c r="HS55" t="e">
        <f>AND(#REF!,"AAAAAE/99+I=")</f>
        <v>#REF!</v>
      </c>
      <c r="HT55" t="e">
        <f>AND(#REF!,"AAAAAE/99+M=")</f>
        <v>#REF!</v>
      </c>
      <c r="HU55" t="e">
        <f>AND(#REF!,"AAAAAE/99+Q=")</f>
        <v>#REF!</v>
      </c>
      <c r="HV55" t="e">
        <f>AND(#REF!,"AAAAAE/99+U=")</f>
        <v>#REF!</v>
      </c>
      <c r="HW55" t="e">
        <f>AND(#REF!,"AAAAAE/99+Y=")</f>
        <v>#REF!</v>
      </c>
      <c r="HX55" t="e">
        <f>AND(#REF!,"AAAAAE/99+c=")</f>
        <v>#REF!</v>
      </c>
      <c r="HY55" t="e">
        <f>AND(#REF!,"AAAAAE/99+g=")</f>
        <v>#REF!</v>
      </c>
      <c r="HZ55" t="e">
        <f>IF(#REF!,"AAAAAE/99+k=",0)</f>
        <v>#REF!</v>
      </c>
      <c r="IA55" t="e">
        <f>AND(#REF!,"AAAAAE/99+o=")</f>
        <v>#REF!</v>
      </c>
      <c r="IB55" t="e">
        <f>AND(#REF!,"AAAAAE/99+s=")</f>
        <v>#REF!</v>
      </c>
      <c r="IC55" t="e">
        <f>AND(#REF!,"AAAAAE/99+w=")</f>
        <v>#REF!</v>
      </c>
      <c r="ID55" t="e">
        <f>AND(#REF!,"AAAAAE/99+0=")</f>
        <v>#REF!</v>
      </c>
      <c r="IE55" t="e">
        <f>AND(#REF!,"AAAAAE/99+4=")</f>
        <v>#REF!</v>
      </c>
      <c r="IF55" t="e">
        <f>AND(#REF!,"AAAAAE/99+8=")</f>
        <v>#REF!</v>
      </c>
      <c r="IG55" t="e">
        <f>AND(#REF!,"AAAAAE/99/A=")</f>
        <v>#REF!</v>
      </c>
      <c r="IH55" t="e">
        <f>AND(#REF!,"AAAAAE/99/E=")</f>
        <v>#REF!</v>
      </c>
      <c r="II55" t="e">
        <f>AND(#REF!,"AAAAAE/99/I=")</f>
        <v>#REF!</v>
      </c>
      <c r="IJ55" t="e">
        <f>AND(#REF!,"AAAAAE/99/M=")</f>
        <v>#REF!</v>
      </c>
      <c r="IK55" t="e">
        <f>AND(#REF!,"AAAAAE/99/Q=")</f>
        <v>#REF!</v>
      </c>
      <c r="IL55" t="e">
        <f>AND(#REF!,"AAAAAE/99/U=")</f>
        <v>#REF!</v>
      </c>
      <c r="IM55" t="e">
        <f>AND(#REF!,"AAAAAE/99/Y=")</f>
        <v>#REF!</v>
      </c>
      <c r="IN55" t="e">
        <f>AND(#REF!,"AAAAAE/99/c=")</f>
        <v>#REF!</v>
      </c>
      <c r="IO55" t="e">
        <f>AND(#REF!,"AAAAAE/99/g=")</f>
        <v>#REF!</v>
      </c>
      <c r="IP55" t="e">
        <f>AND(#REF!,"AAAAAE/99/k=")</f>
        <v>#REF!</v>
      </c>
      <c r="IQ55" t="e">
        <f>AND(#REF!,"AAAAAE/99/o=")</f>
        <v>#REF!</v>
      </c>
      <c r="IR55" t="e">
        <f>AND(#REF!,"AAAAAE/99/s=")</f>
        <v>#REF!</v>
      </c>
      <c r="IS55" t="e">
        <f>AND(#REF!,"AAAAAE/99/w=")</f>
        <v>#REF!</v>
      </c>
      <c r="IT55" t="e">
        <f>AND(#REF!,"AAAAAE/99/0=")</f>
        <v>#REF!</v>
      </c>
      <c r="IU55" t="e">
        <f>AND(#REF!,"AAAAAE/99/4=")</f>
        <v>#REF!</v>
      </c>
      <c r="IV55" t="e">
        <f>AND(#REF!,"AAAAAE/99/8=")</f>
        <v>#REF!</v>
      </c>
    </row>
    <row r="56" spans="1:256" x14ac:dyDescent="0.2">
      <c r="A56" t="e">
        <f>AND(#REF!,"AAAAAHv/4wA=")</f>
        <v>#REF!</v>
      </c>
      <c r="B56" t="e">
        <f>AND(#REF!,"AAAAAHv/4wE=")</f>
        <v>#REF!</v>
      </c>
      <c r="C56" t="e">
        <f>AND(#REF!,"AAAAAHv/4wI=")</f>
        <v>#REF!</v>
      </c>
      <c r="D56" t="e">
        <f>AND(#REF!,"AAAAAHv/4wM=")</f>
        <v>#REF!</v>
      </c>
      <c r="E56" t="e">
        <f>IF(#REF!,"AAAAAHv/4wQ=",0)</f>
        <v>#REF!</v>
      </c>
      <c r="F56" t="e">
        <f>AND(#REF!,"AAAAAHv/4wU=")</f>
        <v>#REF!</v>
      </c>
      <c r="G56" t="e">
        <f>AND(#REF!,"AAAAAHv/4wY=")</f>
        <v>#REF!</v>
      </c>
      <c r="H56" t="e">
        <f>AND(#REF!,"AAAAAHv/4wc=")</f>
        <v>#REF!</v>
      </c>
      <c r="I56" t="e">
        <f>AND(#REF!,"AAAAAHv/4wg=")</f>
        <v>#REF!</v>
      </c>
      <c r="J56" t="e">
        <f>AND(#REF!,"AAAAAHv/4wk=")</f>
        <v>#REF!</v>
      </c>
      <c r="K56" t="e">
        <f>AND(#REF!,"AAAAAHv/4wo=")</f>
        <v>#REF!</v>
      </c>
      <c r="L56" t="e">
        <f>AND(#REF!,"AAAAAHv/4ws=")</f>
        <v>#REF!</v>
      </c>
      <c r="M56" t="e">
        <f>AND(#REF!,"AAAAAHv/4ww=")</f>
        <v>#REF!</v>
      </c>
      <c r="N56" t="e">
        <f>AND(#REF!,"AAAAAHv/4w0=")</f>
        <v>#REF!</v>
      </c>
      <c r="O56" t="e">
        <f>AND(#REF!,"AAAAAHv/4w4=")</f>
        <v>#REF!</v>
      </c>
      <c r="P56" t="e">
        <f>AND(#REF!,"AAAAAHv/4w8=")</f>
        <v>#REF!</v>
      </c>
      <c r="Q56" t="e">
        <f>AND(#REF!,"AAAAAHv/4xA=")</f>
        <v>#REF!</v>
      </c>
      <c r="R56" t="e">
        <f>AND(#REF!,"AAAAAHv/4xE=")</f>
        <v>#REF!</v>
      </c>
      <c r="S56" t="e">
        <f>AND(#REF!,"AAAAAHv/4xI=")</f>
        <v>#REF!</v>
      </c>
      <c r="T56" t="e">
        <f>AND(#REF!,"AAAAAHv/4xM=")</f>
        <v>#REF!</v>
      </c>
      <c r="U56" t="e">
        <f>AND(#REF!,"AAAAAHv/4xQ=")</f>
        <v>#REF!</v>
      </c>
      <c r="V56" t="e">
        <f>AND(#REF!,"AAAAAHv/4xU=")</f>
        <v>#REF!</v>
      </c>
      <c r="W56" t="e">
        <f>AND(#REF!,"AAAAAHv/4xY=")</f>
        <v>#REF!</v>
      </c>
      <c r="X56" t="e">
        <f>AND(#REF!,"AAAAAHv/4xc=")</f>
        <v>#REF!</v>
      </c>
      <c r="Y56" t="e">
        <f>AND(#REF!,"AAAAAHv/4xg=")</f>
        <v>#REF!</v>
      </c>
      <c r="Z56" t="e">
        <f>AND(#REF!,"AAAAAHv/4xk=")</f>
        <v>#REF!</v>
      </c>
      <c r="AA56" t="e">
        <f>AND(#REF!,"AAAAAHv/4xo=")</f>
        <v>#REF!</v>
      </c>
      <c r="AB56" t="e">
        <f>AND(#REF!,"AAAAAHv/4xs=")</f>
        <v>#REF!</v>
      </c>
      <c r="AC56" t="e">
        <f>AND(#REF!,"AAAAAHv/4xw=")</f>
        <v>#REF!</v>
      </c>
      <c r="AD56" t="e">
        <f>AND(#REF!,"AAAAAHv/4x0=")</f>
        <v>#REF!</v>
      </c>
      <c r="AE56" t="e">
        <f>AND(#REF!,"AAAAAHv/4x4=")</f>
        <v>#REF!</v>
      </c>
      <c r="AF56" t="e">
        <f>IF(#REF!,"AAAAAHv/4x8=",0)</f>
        <v>#REF!</v>
      </c>
      <c r="AG56" t="e">
        <f>AND(#REF!,"AAAAAHv/4yA=")</f>
        <v>#REF!</v>
      </c>
      <c r="AH56" t="e">
        <f>AND(#REF!,"AAAAAHv/4yE=")</f>
        <v>#REF!</v>
      </c>
      <c r="AI56" t="e">
        <f>AND(#REF!,"AAAAAHv/4yI=")</f>
        <v>#REF!</v>
      </c>
      <c r="AJ56" t="e">
        <f>AND(#REF!,"AAAAAHv/4yM=")</f>
        <v>#REF!</v>
      </c>
      <c r="AK56" t="e">
        <f>AND(#REF!,"AAAAAHv/4yQ=")</f>
        <v>#REF!</v>
      </c>
      <c r="AL56" t="e">
        <f>AND(#REF!,"AAAAAHv/4yU=")</f>
        <v>#REF!</v>
      </c>
      <c r="AM56" t="e">
        <f>AND(#REF!,"AAAAAHv/4yY=")</f>
        <v>#REF!</v>
      </c>
      <c r="AN56" t="e">
        <f>AND(#REF!,"AAAAAHv/4yc=")</f>
        <v>#REF!</v>
      </c>
      <c r="AO56" t="e">
        <f>AND(#REF!,"AAAAAHv/4yg=")</f>
        <v>#REF!</v>
      </c>
      <c r="AP56" t="e">
        <f>AND(#REF!,"AAAAAHv/4yk=")</f>
        <v>#REF!</v>
      </c>
      <c r="AQ56" t="e">
        <f>AND(#REF!,"AAAAAHv/4yo=")</f>
        <v>#REF!</v>
      </c>
      <c r="AR56" t="e">
        <f>AND(#REF!,"AAAAAHv/4ys=")</f>
        <v>#REF!</v>
      </c>
      <c r="AS56" t="e">
        <f>AND(#REF!,"AAAAAHv/4yw=")</f>
        <v>#REF!</v>
      </c>
      <c r="AT56" t="e">
        <f>AND(#REF!,"AAAAAHv/4y0=")</f>
        <v>#REF!</v>
      </c>
      <c r="AU56" t="e">
        <f>AND(#REF!,"AAAAAHv/4y4=")</f>
        <v>#REF!</v>
      </c>
      <c r="AV56" t="e">
        <f>AND(#REF!,"AAAAAHv/4y8=")</f>
        <v>#REF!</v>
      </c>
      <c r="AW56" t="e">
        <f>AND(#REF!,"AAAAAHv/4zA=")</f>
        <v>#REF!</v>
      </c>
      <c r="AX56" t="e">
        <f>AND(#REF!,"AAAAAHv/4zE=")</f>
        <v>#REF!</v>
      </c>
      <c r="AY56" t="e">
        <f>AND(#REF!,"AAAAAHv/4zI=")</f>
        <v>#REF!</v>
      </c>
      <c r="AZ56" t="e">
        <f>AND(#REF!,"AAAAAHv/4zM=")</f>
        <v>#REF!</v>
      </c>
      <c r="BA56" t="e">
        <f>AND(#REF!,"AAAAAHv/4zQ=")</f>
        <v>#REF!</v>
      </c>
      <c r="BB56" t="e">
        <f>AND(#REF!,"AAAAAHv/4zU=")</f>
        <v>#REF!</v>
      </c>
      <c r="BC56" t="e">
        <f>AND(#REF!,"AAAAAHv/4zY=")</f>
        <v>#REF!</v>
      </c>
      <c r="BD56" t="e">
        <f>AND(#REF!,"AAAAAHv/4zc=")</f>
        <v>#REF!</v>
      </c>
      <c r="BE56" t="e">
        <f>AND(#REF!,"AAAAAHv/4zg=")</f>
        <v>#REF!</v>
      </c>
      <c r="BF56" t="e">
        <f>AND(#REF!,"AAAAAHv/4zk=")</f>
        <v>#REF!</v>
      </c>
      <c r="BG56" t="e">
        <f>IF(#REF!,"AAAAAHv/4zo=",0)</f>
        <v>#REF!</v>
      </c>
      <c r="BH56" t="e">
        <f>AND(#REF!,"AAAAAHv/4zs=")</f>
        <v>#REF!</v>
      </c>
      <c r="BI56" t="e">
        <f>AND(#REF!,"AAAAAHv/4zw=")</f>
        <v>#REF!</v>
      </c>
      <c r="BJ56" t="e">
        <f>AND(#REF!,"AAAAAHv/4z0=")</f>
        <v>#REF!</v>
      </c>
      <c r="BK56" t="e">
        <f>AND(#REF!,"AAAAAHv/4z4=")</f>
        <v>#REF!</v>
      </c>
      <c r="BL56" t="e">
        <f>AND(#REF!,"AAAAAHv/4z8=")</f>
        <v>#REF!</v>
      </c>
      <c r="BM56" t="e">
        <f>AND(#REF!,"AAAAAHv/40A=")</f>
        <v>#REF!</v>
      </c>
      <c r="BN56" t="e">
        <f>AND(#REF!,"AAAAAHv/40E=")</f>
        <v>#REF!</v>
      </c>
      <c r="BO56" t="e">
        <f>AND(#REF!,"AAAAAHv/40I=")</f>
        <v>#REF!</v>
      </c>
      <c r="BP56" t="e">
        <f>AND(#REF!,"AAAAAHv/40M=")</f>
        <v>#REF!</v>
      </c>
      <c r="BQ56" t="e">
        <f>AND(#REF!,"AAAAAHv/40Q=")</f>
        <v>#REF!</v>
      </c>
      <c r="BR56" t="e">
        <f>AND(#REF!,"AAAAAHv/40U=")</f>
        <v>#REF!</v>
      </c>
      <c r="BS56" t="e">
        <f>AND(#REF!,"AAAAAHv/40Y=")</f>
        <v>#REF!</v>
      </c>
      <c r="BT56" t="e">
        <f>AND(#REF!,"AAAAAHv/40c=")</f>
        <v>#REF!</v>
      </c>
      <c r="BU56" t="e">
        <f>AND(#REF!,"AAAAAHv/40g=")</f>
        <v>#REF!</v>
      </c>
      <c r="BV56" t="e">
        <f>AND(#REF!,"AAAAAHv/40k=")</f>
        <v>#REF!</v>
      </c>
      <c r="BW56" t="e">
        <f>AND(#REF!,"AAAAAHv/40o=")</f>
        <v>#REF!</v>
      </c>
      <c r="BX56" t="e">
        <f>AND(#REF!,"AAAAAHv/40s=")</f>
        <v>#REF!</v>
      </c>
      <c r="BY56" t="e">
        <f>AND(#REF!,"AAAAAHv/40w=")</f>
        <v>#REF!</v>
      </c>
      <c r="BZ56" t="e">
        <f>AND(#REF!,"AAAAAHv/400=")</f>
        <v>#REF!</v>
      </c>
      <c r="CA56" t="e">
        <f>AND(#REF!,"AAAAAHv/404=")</f>
        <v>#REF!</v>
      </c>
      <c r="CB56" t="e">
        <f>AND(#REF!,"AAAAAHv/408=")</f>
        <v>#REF!</v>
      </c>
      <c r="CC56" t="e">
        <f>AND(#REF!,"AAAAAHv/41A=")</f>
        <v>#REF!</v>
      </c>
      <c r="CD56" t="e">
        <f>AND(#REF!,"AAAAAHv/41E=")</f>
        <v>#REF!</v>
      </c>
      <c r="CE56" t="e">
        <f>AND(#REF!,"AAAAAHv/41I=")</f>
        <v>#REF!</v>
      </c>
      <c r="CF56" t="e">
        <f>AND(#REF!,"AAAAAHv/41M=")</f>
        <v>#REF!</v>
      </c>
      <c r="CG56" t="e">
        <f>AND(#REF!,"AAAAAHv/41Q=")</f>
        <v>#REF!</v>
      </c>
      <c r="CH56" t="e">
        <f>IF(#REF!,"AAAAAHv/41U=",0)</f>
        <v>#REF!</v>
      </c>
      <c r="CI56" t="e">
        <f>AND(#REF!,"AAAAAHv/41Y=")</f>
        <v>#REF!</v>
      </c>
      <c r="CJ56" t="e">
        <f>AND(#REF!,"AAAAAHv/41c=")</f>
        <v>#REF!</v>
      </c>
      <c r="CK56" t="e">
        <f>AND(#REF!,"AAAAAHv/41g=")</f>
        <v>#REF!</v>
      </c>
      <c r="CL56" t="e">
        <f>AND(#REF!,"AAAAAHv/41k=")</f>
        <v>#REF!</v>
      </c>
      <c r="CM56" t="e">
        <f>AND(#REF!,"AAAAAHv/41o=")</f>
        <v>#REF!</v>
      </c>
      <c r="CN56" t="e">
        <f>AND(#REF!,"AAAAAHv/41s=")</f>
        <v>#REF!</v>
      </c>
      <c r="CO56" t="e">
        <f>AND(#REF!,"AAAAAHv/41w=")</f>
        <v>#REF!</v>
      </c>
      <c r="CP56" t="e">
        <f>AND(#REF!,"AAAAAHv/410=")</f>
        <v>#REF!</v>
      </c>
      <c r="CQ56" t="e">
        <f>AND(#REF!,"AAAAAHv/414=")</f>
        <v>#REF!</v>
      </c>
      <c r="CR56" t="e">
        <f>AND(#REF!,"AAAAAHv/418=")</f>
        <v>#REF!</v>
      </c>
      <c r="CS56" t="e">
        <f>AND(#REF!,"AAAAAHv/42A=")</f>
        <v>#REF!</v>
      </c>
      <c r="CT56" t="e">
        <f>AND(#REF!,"AAAAAHv/42E=")</f>
        <v>#REF!</v>
      </c>
      <c r="CU56" t="e">
        <f>AND(#REF!,"AAAAAHv/42I=")</f>
        <v>#REF!</v>
      </c>
      <c r="CV56" t="e">
        <f>AND(#REF!,"AAAAAHv/42M=")</f>
        <v>#REF!</v>
      </c>
      <c r="CW56" t="e">
        <f>AND(#REF!,"AAAAAHv/42Q=")</f>
        <v>#REF!</v>
      </c>
      <c r="CX56" t="e">
        <f>AND(#REF!,"AAAAAHv/42U=")</f>
        <v>#REF!</v>
      </c>
      <c r="CY56" t="e">
        <f>AND(#REF!,"AAAAAHv/42Y=")</f>
        <v>#REF!</v>
      </c>
      <c r="CZ56" t="e">
        <f>AND(#REF!,"AAAAAHv/42c=")</f>
        <v>#REF!</v>
      </c>
      <c r="DA56" t="e">
        <f>AND(#REF!,"AAAAAHv/42g=")</f>
        <v>#REF!</v>
      </c>
      <c r="DB56" t="e">
        <f>AND(#REF!,"AAAAAHv/42k=")</f>
        <v>#REF!</v>
      </c>
      <c r="DC56" t="e">
        <f>AND(#REF!,"AAAAAHv/42o=")</f>
        <v>#REF!</v>
      </c>
      <c r="DD56" t="e">
        <f>AND(#REF!,"AAAAAHv/42s=")</f>
        <v>#REF!</v>
      </c>
      <c r="DE56" t="e">
        <f>AND(#REF!,"AAAAAHv/42w=")</f>
        <v>#REF!</v>
      </c>
      <c r="DF56" t="e">
        <f>AND(#REF!,"AAAAAHv/420=")</f>
        <v>#REF!</v>
      </c>
      <c r="DG56" t="e">
        <f>AND(#REF!,"AAAAAHv/424=")</f>
        <v>#REF!</v>
      </c>
      <c r="DH56" t="e">
        <f>AND(#REF!,"AAAAAHv/428=")</f>
        <v>#REF!</v>
      </c>
      <c r="DI56" t="e">
        <f>IF(#REF!,"AAAAAHv/43A=",0)</f>
        <v>#REF!</v>
      </c>
      <c r="DJ56" t="e">
        <f>AND(#REF!,"AAAAAHv/43E=")</f>
        <v>#REF!</v>
      </c>
      <c r="DK56" t="e">
        <f>AND(#REF!,"AAAAAHv/43I=")</f>
        <v>#REF!</v>
      </c>
      <c r="DL56" t="e">
        <f>AND(#REF!,"AAAAAHv/43M=")</f>
        <v>#REF!</v>
      </c>
      <c r="DM56" t="e">
        <f>AND(#REF!,"AAAAAHv/43Q=")</f>
        <v>#REF!</v>
      </c>
      <c r="DN56" t="e">
        <f>AND(#REF!,"AAAAAHv/43U=")</f>
        <v>#REF!</v>
      </c>
      <c r="DO56" t="e">
        <f>AND(#REF!,"AAAAAHv/43Y=")</f>
        <v>#REF!</v>
      </c>
      <c r="DP56" t="e">
        <f>AND(#REF!,"AAAAAHv/43c=")</f>
        <v>#REF!</v>
      </c>
      <c r="DQ56" t="e">
        <f>AND(#REF!,"AAAAAHv/43g=")</f>
        <v>#REF!</v>
      </c>
      <c r="DR56" t="e">
        <f>AND(#REF!,"AAAAAHv/43k=")</f>
        <v>#REF!</v>
      </c>
      <c r="DS56" t="e">
        <f>AND(#REF!,"AAAAAHv/43o=")</f>
        <v>#REF!</v>
      </c>
      <c r="DT56" t="e">
        <f>AND(#REF!,"AAAAAHv/43s=")</f>
        <v>#REF!</v>
      </c>
      <c r="DU56" t="e">
        <f>AND(#REF!,"AAAAAHv/43w=")</f>
        <v>#REF!</v>
      </c>
      <c r="DV56" t="e">
        <f>AND(#REF!,"AAAAAHv/430=")</f>
        <v>#REF!</v>
      </c>
      <c r="DW56" t="e">
        <f>AND(#REF!,"AAAAAHv/434=")</f>
        <v>#REF!</v>
      </c>
      <c r="DX56" t="e">
        <f>AND(#REF!,"AAAAAHv/438=")</f>
        <v>#REF!</v>
      </c>
      <c r="DY56" t="e">
        <f>AND(#REF!,"AAAAAHv/44A=")</f>
        <v>#REF!</v>
      </c>
      <c r="DZ56" t="e">
        <f>AND(#REF!,"AAAAAHv/44E=")</f>
        <v>#REF!</v>
      </c>
      <c r="EA56" t="e">
        <f>AND(#REF!,"AAAAAHv/44I=")</f>
        <v>#REF!</v>
      </c>
      <c r="EB56" t="e">
        <f>AND(#REF!,"AAAAAHv/44M=")</f>
        <v>#REF!</v>
      </c>
      <c r="EC56" t="e">
        <f>AND(#REF!,"AAAAAHv/44Q=")</f>
        <v>#REF!</v>
      </c>
      <c r="ED56" t="e">
        <f>AND(#REF!,"AAAAAHv/44U=")</f>
        <v>#REF!</v>
      </c>
      <c r="EE56" t="e">
        <f>AND(#REF!,"AAAAAHv/44Y=")</f>
        <v>#REF!</v>
      </c>
      <c r="EF56" t="e">
        <f>AND(#REF!,"AAAAAHv/44c=")</f>
        <v>#REF!</v>
      </c>
      <c r="EG56" t="e">
        <f>AND(#REF!,"AAAAAHv/44g=")</f>
        <v>#REF!</v>
      </c>
      <c r="EH56" t="e">
        <f>AND(#REF!,"AAAAAHv/44k=")</f>
        <v>#REF!</v>
      </c>
      <c r="EI56" t="e">
        <f>AND(#REF!,"AAAAAHv/44o=")</f>
        <v>#REF!</v>
      </c>
      <c r="EJ56" t="e">
        <f>IF(#REF!,"AAAAAHv/44s=",0)</f>
        <v>#REF!</v>
      </c>
      <c r="EK56" t="e">
        <f>AND(#REF!,"AAAAAHv/44w=")</f>
        <v>#REF!</v>
      </c>
      <c r="EL56" t="e">
        <f>AND(#REF!,"AAAAAHv/440=")</f>
        <v>#REF!</v>
      </c>
      <c r="EM56" t="e">
        <f>AND(#REF!,"AAAAAHv/444=")</f>
        <v>#REF!</v>
      </c>
      <c r="EN56" t="e">
        <f>AND(#REF!,"AAAAAHv/448=")</f>
        <v>#REF!</v>
      </c>
      <c r="EO56" t="e">
        <f>AND(#REF!,"AAAAAHv/45A=")</f>
        <v>#REF!</v>
      </c>
      <c r="EP56" t="e">
        <f>AND(#REF!,"AAAAAHv/45E=")</f>
        <v>#REF!</v>
      </c>
      <c r="EQ56" t="e">
        <f>AND(#REF!,"AAAAAHv/45I=")</f>
        <v>#REF!</v>
      </c>
      <c r="ER56" t="e">
        <f>AND(#REF!,"AAAAAHv/45M=")</f>
        <v>#REF!</v>
      </c>
      <c r="ES56" t="e">
        <f>AND(#REF!,"AAAAAHv/45Q=")</f>
        <v>#REF!</v>
      </c>
      <c r="ET56" t="e">
        <f>AND(#REF!,"AAAAAHv/45U=")</f>
        <v>#REF!</v>
      </c>
      <c r="EU56" t="e">
        <f>AND(#REF!,"AAAAAHv/45Y=")</f>
        <v>#REF!</v>
      </c>
      <c r="EV56" t="e">
        <f>AND(#REF!,"AAAAAHv/45c=")</f>
        <v>#REF!</v>
      </c>
      <c r="EW56" t="e">
        <f>AND(#REF!,"AAAAAHv/45g=")</f>
        <v>#REF!</v>
      </c>
      <c r="EX56" t="e">
        <f>AND(#REF!,"AAAAAHv/45k=")</f>
        <v>#REF!</v>
      </c>
      <c r="EY56" t="e">
        <f>AND(#REF!,"AAAAAHv/45o=")</f>
        <v>#REF!</v>
      </c>
      <c r="EZ56" t="e">
        <f>AND(#REF!,"AAAAAHv/45s=")</f>
        <v>#REF!</v>
      </c>
      <c r="FA56" t="e">
        <f>AND(#REF!,"AAAAAHv/45w=")</f>
        <v>#REF!</v>
      </c>
      <c r="FB56" t="e">
        <f>AND(#REF!,"AAAAAHv/450=")</f>
        <v>#REF!</v>
      </c>
      <c r="FC56" t="e">
        <f>AND(#REF!,"AAAAAHv/454=")</f>
        <v>#REF!</v>
      </c>
      <c r="FD56" t="e">
        <f>AND(#REF!,"AAAAAHv/458=")</f>
        <v>#REF!</v>
      </c>
      <c r="FE56" t="e">
        <f>AND(#REF!,"AAAAAHv/46A=")</f>
        <v>#REF!</v>
      </c>
      <c r="FF56" t="e">
        <f>AND(#REF!,"AAAAAHv/46E=")</f>
        <v>#REF!</v>
      </c>
      <c r="FG56" t="e">
        <f>AND(#REF!,"AAAAAHv/46I=")</f>
        <v>#REF!</v>
      </c>
      <c r="FH56" t="e">
        <f>AND(#REF!,"AAAAAHv/46M=")</f>
        <v>#REF!</v>
      </c>
      <c r="FI56" t="e">
        <f>AND(#REF!,"AAAAAHv/46Q=")</f>
        <v>#REF!</v>
      </c>
      <c r="FJ56" t="e">
        <f>AND(#REF!,"AAAAAHv/46U=")</f>
        <v>#REF!</v>
      </c>
      <c r="FK56" t="e">
        <f>IF(#REF!,"AAAAAHv/46Y=",0)</f>
        <v>#REF!</v>
      </c>
      <c r="FL56" t="e">
        <f>AND(#REF!,"AAAAAHv/46c=")</f>
        <v>#REF!</v>
      </c>
      <c r="FM56" t="e">
        <f>AND(#REF!,"AAAAAHv/46g=")</f>
        <v>#REF!</v>
      </c>
      <c r="FN56" t="e">
        <f>AND(#REF!,"AAAAAHv/46k=")</f>
        <v>#REF!</v>
      </c>
      <c r="FO56" t="e">
        <f>AND(#REF!,"AAAAAHv/46o=")</f>
        <v>#REF!</v>
      </c>
      <c r="FP56" t="e">
        <f>AND(#REF!,"AAAAAHv/46s=")</f>
        <v>#REF!</v>
      </c>
      <c r="FQ56" t="e">
        <f>AND(#REF!,"AAAAAHv/46w=")</f>
        <v>#REF!</v>
      </c>
      <c r="FR56" t="e">
        <f>AND(#REF!,"AAAAAHv/460=")</f>
        <v>#REF!</v>
      </c>
      <c r="FS56" t="e">
        <f>AND(#REF!,"AAAAAHv/464=")</f>
        <v>#REF!</v>
      </c>
      <c r="FT56" t="e">
        <f>AND(#REF!,"AAAAAHv/468=")</f>
        <v>#REF!</v>
      </c>
      <c r="FU56" t="e">
        <f>AND(#REF!,"AAAAAHv/47A=")</f>
        <v>#REF!</v>
      </c>
      <c r="FV56" t="e">
        <f>AND(#REF!,"AAAAAHv/47E=")</f>
        <v>#REF!</v>
      </c>
      <c r="FW56" t="e">
        <f>AND(#REF!,"AAAAAHv/47I=")</f>
        <v>#REF!</v>
      </c>
      <c r="FX56" t="e">
        <f>AND(#REF!,"AAAAAHv/47M=")</f>
        <v>#REF!</v>
      </c>
      <c r="FY56" t="e">
        <f>AND(#REF!,"AAAAAHv/47Q=")</f>
        <v>#REF!</v>
      </c>
      <c r="FZ56" t="e">
        <f>AND(#REF!,"AAAAAHv/47U=")</f>
        <v>#REF!</v>
      </c>
      <c r="GA56" t="e">
        <f>AND(#REF!,"AAAAAHv/47Y=")</f>
        <v>#REF!</v>
      </c>
      <c r="GB56" t="e">
        <f>AND(#REF!,"AAAAAHv/47c=")</f>
        <v>#REF!</v>
      </c>
      <c r="GC56" t="e">
        <f>AND(#REF!,"AAAAAHv/47g=")</f>
        <v>#REF!</v>
      </c>
      <c r="GD56" t="e">
        <f>AND(#REF!,"AAAAAHv/47k=")</f>
        <v>#REF!</v>
      </c>
      <c r="GE56" t="e">
        <f>AND(#REF!,"AAAAAHv/47o=")</f>
        <v>#REF!</v>
      </c>
      <c r="GF56" t="e">
        <f>AND(#REF!,"AAAAAHv/47s=")</f>
        <v>#REF!</v>
      </c>
      <c r="GG56" t="e">
        <f>AND(#REF!,"AAAAAHv/47w=")</f>
        <v>#REF!</v>
      </c>
      <c r="GH56" t="e">
        <f>AND(#REF!,"AAAAAHv/470=")</f>
        <v>#REF!</v>
      </c>
      <c r="GI56" t="e">
        <f>AND(#REF!,"AAAAAHv/474=")</f>
        <v>#REF!</v>
      </c>
      <c r="GJ56" t="e">
        <f>AND(#REF!,"AAAAAHv/478=")</f>
        <v>#REF!</v>
      </c>
      <c r="GK56" t="e">
        <f>AND(#REF!,"AAAAAHv/48A=")</f>
        <v>#REF!</v>
      </c>
      <c r="GL56" t="e">
        <f>IF(#REF!,"AAAAAHv/48E=",0)</f>
        <v>#REF!</v>
      </c>
      <c r="GM56" t="e">
        <f>AND(#REF!,"AAAAAHv/48I=")</f>
        <v>#REF!</v>
      </c>
      <c r="GN56" t="e">
        <f>AND(#REF!,"AAAAAHv/48M=")</f>
        <v>#REF!</v>
      </c>
      <c r="GO56" t="e">
        <f>AND(#REF!,"AAAAAHv/48Q=")</f>
        <v>#REF!</v>
      </c>
      <c r="GP56" t="e">
        <f>AND(#REF!,"AAAAAHv/48U=")</f>
        <v>#REF!</v>
      </c>
      <c r="GQ56" t="e">
        <f>AND(#REF!,"AAAAAHv/48Y=")</f>
        <v>#REF!</v>
      </c>
      <c r="GR56" t="e">
        <f>AND(#REF!,"AAAAAHv/48c=")</f>
        <v>#REF!</v>
      </c>
      <c r="GS56" t="e">
        <f>AND(#REF!,"AAAAAHv/48g=")</f>
        <v>#REF!</v>
      </c>
      <c r="GT56" t="e">
        <f>AND(#REF!,"AAAAAHv/48k=")</f>
        <v>#REF!</v>
      </c>
      <c r="GU56" t="e">
        <f>AND(#REF!,"AAAAAHv/48o=")</f>
        <v>#REF!</v>
      </c>
      <c r="GV56" t="e">
        <f>AND(#REF!,"AAAAAHv/48s=")</f>
        <v>#REF!</v>
      </c>
      <c r="GW56" t="e">
        <f>AND(#REF!,"AAAAAHv/48w=")</f>
        <v>#REF!</v>
      </c>
      <c r="GX56" t="e">
        <f>AND(#REF!,"AAAAAHv/480=")</f>
        <v>#REF!</v>
      </c>
      <c r="GY56" t="e">
        <f>AND(#REF!,"AAAAAHv/484=")</f>
        <v>#REF!</v>
      </c>
      <c r="GZ56" t="e">
        <f>AND(#REF!,"AAAAAHv/488=")</f>
        <v>#REF!</v>
      </c>
      <c r="HA56" t="e">
        <f>AND(#REF!,"AAAAAHv/49A=")</f>
        <v>#REF!</v>
      </c>
      <c r="HB56" t="e">
        <f>AND(#REF!,"AAAAAHv/49E=")</f>
        <v>#REF!</v>
      </c>
      <c r="HC56" t="e">
        <f>AND(#REF!,"AAAAAHv/49I=")</f>
        <v>#REF!</v>
      </c>
      <c r="HD56" t="e">
        <f>AND(#REF!,"AAAAAHv/49M=")</f>
        <v>#REF!</v>
      </c>
      <c r="HE56" t="e">
        <f>AND(#REF!,"AAAAAHv/49Q=")</f>
        <v>#REF!</v>
      </c>
      <c r="HF56" t="e">
        <f>AND(#REF!,"AAAAAHv/49U=")</f>
        <v>#REF!</v>
      </c>
      <c r="HG56" t="e">
        <f>AND(#REF!,"AAAAAHv/49Y=")</f>
        <v>#REF!</v>
      </c>
      <c r="HH56" t="e">
        <f>AND(#REF!,"AAAAAHv/49c=")</f>
        <v>#REF!</v>
      </c>
      <c r="HI56" t="e">
        <f>AND(#REF!,"AAAAAHv/49g=")</f>
        <v>#REF!</v>
      </c>
      <c r="HJ56" t="e">
        <f>AND(#REF!,"AAAAAHv/49k=")</f>
        <v>#REF!</v>
      </c>
      <c r="HK56" t="e">
        <f>AND(#REF!,"AAAAAHv/49o=")</f>
        <v>#REF!</v>
      </c>
      <c r="HL56" t="e">
        <f>AND(#REF!,"AAAAAHv/49s=")</f>
        <v>#REF!</v>
      </c>
      <c r="HM56" t="e">
        <f>IF(#REF!,"AAAAAHv/49w=",0)</f>
        <v>#REF!</v>
      </c>
      <c r="HN56" t="e">
        <f>AND(#REF!,"AAAAAHv/490=")</f>
        <v>#REF!</v>
      </c>
      <c r="HO56" t="e">
        <f>AND(#REF!,"AAAAAHv/494=")</f>
        <v>#REF!</v>
      </c>
      <c r="HP56" t="e">
        <f>AND(#REF!,"AAAAAHv/498=")</f>
        <v>#REF!</v>
      </c>
      <c r="HQ56" t="e">
        <f>AND(#REF!,"AAAAAHv/4+A=")</f>
        <v>#REF!</v>
      </c>
      <c r="HR56" t="e">
        <f>AND(#REF!,"AAAAAHv/4+E=")</f>
        <v>#REF!</v>
      </c>
      <c r="HS56" t="e">
        <f>AND(#REF!,"AAAAAHv/4+I=")</f>
        <v>#REF!</v>
      </c>
      <c r="HT56" t="e">
        <f>AND(#REF!,"AAAAAHv/4+M=")</f>
        <v>#REF!</v>
      </c>
      <c r="HU56" t="e">
        <f>AND(#REF!,"AAAAAHv/4+Q=")</f>
        <v>#REF!</v>
      </c>
      <c r="HV56" t="e">
        <f>AND(#REF!,"AAAAAHv/4+U=")</f>
        <v>#REF!</v>
      </c>
      <c r="HW56" t="e">
        <f>AND(#REF!,"AAAAAHv/4+Y=")</f>
        <v>#REF!</v>
      </c>
      <c r="HX56" t="e">
        <f>AND(#REF!,"AAAAAHv/4+c=")</f>
        <v>#REF!</v>
      </c>
      <c r="HY56" t="e">
        <f>AND(#REF!,"AAAAAHv/4+g=")</f>
        <v>#REF!</v>
      </c>
      <c r="HZ56" t="e">
        <f>AND(#REF!,"AAAAAHv/4+k=")</f>
        <v>#REF!</v>
      </c>
      <c r="IA56" t="e">
        <f>AND(#REF!,"AAAAAHv/4+o=")</f>
        <v>#REF!</v>
      </c>
      <c r="IB56" t="e">
        <f>AND(#REF!,"AAAAAHv/4+s=")</f>
        <v>#REF!</v>
      </c>
      <c r="IC56" t="e">
        <f>AND(#REF!,"AAAAAHv/4+w=")</f>
        <v>#REF!</v>
      </c>
      <c r="ID56" t="e">
        <f>AND(#REF!,"AAAAAHv/4+0=")</f>
        <v>#REF!</v>
      </c>
      <c r="IE56" t="e">
        <f>AND(#REF!,"AAAAAHv/4+4=")</f>
        <v>#REF!</v>
      </c>
      <c r="IF56" t="e">
        <f>AND(#REF!,"AAAAAHv/4+8=")</f>
        <v>#REF!</v>
      </c>
      <c r="IG56" t="e">
        <f>AND(#REF!,"AAAAAHv/4/A=")</f>
        <v>#REF!</v>
      </c>
      <c r="IH56" t="e">
        <f>AND(#REF!,"AAAAAHv/4/E=")</f>
        <v>#REF!</v>
      </c>
      <c r="II56" t="e">
        <f>AND(#REF!,"AAAAAHv/4/I=")</f>
        <v>#REF!</v>
      </c>
      <c r="IJ56" t="e">
        <f>AND(#REF!,"AAAAAHv/4/M=")</f>
        <v>#REF!</v>
      </c>
      <c r="IK56" t="e">
        <f>AND(#REF!,"AAAAAHv/4/Q=")</f>
        <v>#REF!</v>
      </c>
      <c r="IL56" t="e">
        <f>AND(#REF!,"AAAAAHv/4/U=")</f>
        <v>#REF!</v>
      </c>
      <c r="IM56" t="e">
        <f>AND(#REF!,"AAAAAHv/4/Y=")</f>
        <v>#REF!</v>
      </c>
      <c r="IN56" t="e">
        <f>IF(#REF!,"AAAAAHv/4/c=",0)</f>
        <v>#REF!</v>
      </c>
      <c r="IO56" t="e">
        <f>AND(#REF!,"AAAAAHv/4/g=")</f>
        <v>#REF!</v>
      </c>
      <c r="IP56" t="e">
        <f>AND(#REF!,"AAAAAHv/4/k=")</f>
        <v>#REF!</v>
      </c>
      <c r="IQ56" t="e">
        <f>AND(#REF!,"AAAAAHv/4/o=")</f>
        <v>#REF!</v>
      </c>
      <c r="IR56" t="e">
        <f>AND(#REF!,"AAAAAHv/4/s=")</f>
        <v>#REF!</v>
      </c>
      <c r="IS56" t="e">
        <f>AND(#REF!,"AAAAAHv/4/w=")</f>
        <v>#REF!</v>
      </c>
      <c r="IT56" t="e">
        <f>AND(#REF!,"AAAAAHv/4/0=")</f>
        <v>#REF!</v>
      </c>
      <c r="IU56" t="e">
        <f>AND(#REF!,"AAAAAHv/4/4=")</f>
        <v>#REF!</v>
      </c>
      <c r="IV56" t="e">
        <f>AND(#REF!,"AAAAAHv/4/8=")</f>
        <v>#REF!</v>
      </c>
    </row>
    <row r="57" spans="1:256" x14ac:dyDescent="0.2">
      <c r="A57" t="e">
        <f>AND(#REF!,"AAAAAH8q3wA=")</f>
        <v>#REF!</v>
      </c>
      <c r="B57" t="e">
        <f>AND(#REF!,"AAAAAH8q3wE=")</f>
        <v>#REF!</v>
      </c>
      <c r="C57" t="e">
        <f>AND(#REF!,"AAAAAH8q3wI=")</f>
        <v>#REF!</v>
      </c>
      <c r="D57" t="e">
        <f>AND(#REF!,"AAAAAH8q3wM=")</f>
        <v>#REF!</v>
      </c>
      <c r="E57" t="e">
        <f>AND(#REF!,"AAAAAH8q3wQ=")</f>
        <v>#REF!</v>
      </c>
      <c r="F57" t="e">
        <f>AND(#REF!,"AAAAAH8q3wU=")</f>
        <v>#REF!</v>
      </c>
      <c r="G57" t="e">
        <f>AND(#REF!,"AAAAAH8q3wY=")</f>
        <v>#REF!</v>
      </c>
      <c r="H57" t="e">
        <f>AND(#REF!,"AAAAAH8q3wc=")</f>
        <v>#REF!</v>
      </c>
      <c r="I57" t="e">
        <f>AND(#REF!,"AAAAAH8q3wg=")</f>
        <v>#REF!</v>
      </c>
      <c r="J57" t="e">
        <f>AND(#REF!,"AAAAAH8q3wk=")</f>
        <v>#REF!</v>
      </c>
      <c r="K57" t="e">
        <f>AND(#REF!,"AAAAAH8q3wo=")</f>
        <v>#REF!</v>
      </c>
      <c r="L57" t="e">
        <f>AND(#REF!,"AAAAAH8q3ws=")</f>
        <v>#REF!</v>
      </c>
      <c r="M57" t="e">
        <f>AND(#REF!,"AAAAAH8q3ww=")</f>
        <v>#REF!</v>
      </c>
      <c r="N57" t="e">
        <f>AND(#REF!,"AAAAAH8q3w0=")</f>
        <v>#REF!</v>
      </c>
      <c r="O57" t="e">
        <f>AND(#REF!,"AAAAAH8q3w4=")</f>
        <v>#REF!</v>
      </c>
      <c r="P57" t="e">
        <f>AND(#REF!,"AAAAAH8q3w8=")</f>
        <v>#REF!</v>
      </c>
      <c r="Q57" t="e">
        <f>AND(#REF!,"AAAAAH8q3xA=")</f>
        <v>#REF!</v>
      </c>
      <c r="R57" t="e">
        <f>AND(#REF!,"AAAAAH8q3xE=")</f>
        <v>#REF!</v>
      </c>
      <c r="S57" t="e">
        <f>IF(#REF!,"AAAAAH8q3xI=",0)</f>
        <v>#REF!</v>
      </c>
      <c r="T57" t="e">
        <f>AND(#REF!,"AAAAAH8q3xM=")</f>
        <v>#REF!</v>
      </c>
      <c r="U57" t="e">
        <f>AND(#REF!,"AAAAAH8q3xQ=")</f>
        <v>#REF!</v>
      </c>
      <c r="V57" t="e">
        <f>AND(#REF!,"AAAAAH8q3xU=")</f>
        <v>#REF!</v>
      </c>
      <c r="W57" t="e">
        <f>AND(#REF!,"AAAAAH8q3xY=")</f>
        <v>#REF!</v>
      </c>
      <c r="X57" t="e">
        <f>AND(#REF!,"AAAAAH8q3xc=")</f>
        <v>#REF!</v>
      </c>
      <c r="Y57" t="e">
        <f>AND(#REF!,"AAAAAH8q3xg=")</f>
        <v>#REF!</v>
      </c>
      <c r="Z57" t="e">
        <f>AND(#REF!,"AAAAAH8q3xk=")</f>
        <v>#REF!</v>
      </c>
      <c r="AA57" t="e">
        <f>AND(#REF!,"AAAAAH8q3xo=")</f>
        <v>#REF!</v>
      </c>
      <c r="AB57" t="e">
        <f>AND(#REF!,"AAAAAH8q3xs=")</f>
        <v>#REF!</v>
      </c>
      <c r="AC57" t="e">
        <f>AND(#REF!,"AAAAAH8q3xw=")</f>
        <v>#REF!</v>
      </c>
      <c r="AD57" t="e">
        <f>AND(#REF!,"AAAAAH8q3x0=")</f>
        <v>#REF!</v>
      </c>
      <c r="AE57" t="e">
        <f>AND(#REF!,"AAAAAH8q3x4=")</f>
        <v>#REF!</v>
      </c>
      <c r="AF57" t="e">
        <f>AND(#REF!,"AAAAAH8q3x8=")</f>
        <v>#REF!</v>
      </c>
      <c r="AG57" t="e">
        <f>AND(#REF!,"AAAAAH8q3yA=")</f>
        <v>#REF!</v>
      </c>
      <c r="AH57" t="e">
        <f>AND(#REF!,"AAAAAH8q3yE=")</f>
        <v>#REF!</v>
      </c>
      <c r="AI57" t="e">
        <f>AND(#REF!,"AAAAAH8q3yI=")</f>
        <v>#REF!</v>
      </c>
      <c r="AJ57" t="e">
        <f>AND(#REF!,"AAAAAH8q3yM=")</f>
        <v>#REF!</v>
      </c>
      <c r="AK57" t="e">
        <f>AND(#REF!,"AAAAAH8q3yQ=")</f>
        <v>#REF!</v>
      </c>
      <c r="AL57" t="e">
        <f>AND(#REF!,"AAAAAH8q3yU=")</f>
        <v>#REF!</v>
      </c>
      <c r="AM57" t="e">
        <f>AND(#REF!,"AAAAAH8q3yY=")</f>
        <v>#REF!</v>
      </c>
      <c r="AN57" t="e">
        <f>AND(#REF!,"AAAAAH8q3yc=")</f>
        <v>#REF!</v>
      </c>
      <c r="AO57" t="e">
        <f>AND(#REF!,"AAAAAH8q3yg=")</f>
        <v>#REF!</v>
      </c>
      <c r="AP57" t="e">
        <f>AND(#REF!,"AAAAAH8q3yk=")</f>
        <v>#REF!</v>
      </c>
      <c r="AQ57" t="e">
        <f>AND(#REF!,"AAAAAH8q3yo=")</f>
        <v>#REF!</v>
      </c>
      <c r="AR57" t="e">
        <f>AND(#REF!,"AAAAAH8q3ys=")</f>
        <v>#REF!</v>
      </c>
      <c r="AS57" t="e">
        <f>AND(#REF!,"AAAAAH8q3yw=")</f>
        <v>#REF!</v>
      </c>
      <c r="AT57" t="e">
        <f>IF(#REF!,"AAAAAH8q3y0=",0)</f>
        <v>#REF!</v>
      </c>
      <c r="AU57" t="e">
        <f>AND(#REF!,"AAAAAH8q3y4=")</f>
        <v>#REF!</v>
      </c>
      <c r="AV57" t="e">
        <f>AND(#REF!,"AAAAAH8q3y8=")</f>
        <v>#REF!</v>
      </c>
      <c r="AW57" t="e">
        <f>AND(#REF!,"AAAAAH8q3zA=")</f>
        <v>#REF!</v>
      </c>
      <c r="AX57" t="e">
        <f>AND(#REF!,"AAAAAH8q3zE=")</f>
        <v>#REF!</v>
      </c>
      <c r="AY57" t="e">
        <f>AND(#REF!,"AAAAAH8q3zI=")</f>
        <v>#REF!</v>
      </c>
      <c r="AZ57" t="e">
        <f>AND(#REF!,"AAAAAH8q3zM=")</f>
        <v>#REF!</v>
      </c>
      <c r="BA57" t="e">
        <f>AND(#REF!,"AAAAAH8q3zQ=")</f>
        <v>#REF!</v>
      </c>
      <c r="BB57" t="e">
        <f>AND(#REF!,"AAAAAH8q3zU=")</f>
        <v>#REF!</v>
      </c>
      <c r="BC57" t="e">
        <f>AND(#REF!,"AAAAAH8q3zY=")</f>
        <v>#REF!</v>
      </c>
      <c r="BD57" t="e">
        <f>AND(#REF!,"AAAAAH8q3zc=")</f>
        <v>#REF!</v>
      </c>
      <c r="BE57" t="e">
        <f>AND(#REF!,"AAAAAH8q3zg=")</f>
        <v>#REF!</v>
      </c>
      <c r="BF57" t="e">
        <f>AND(#REF!,"AAAAAH8q3zk=")</f>
        <v>#REF!</v>
      </c>
      <c r="BG57" t="e">
        <f>AND(#REF!,"AAAAAH8q3zo=")</f>
        <v>#REF!</v>
      </c>
      <c r="BH57" t="e">
        <f>AND(#REF!,"AAAAAH8q3zs=")</f>
        <v>#REF!</v>
      </c>
      <c r="BI57" t="e">
        <f>AND(#REF!,"AAAAAH8q3zw=")</f>
        <v>#REF!</v>
      </c>
      <c r="BJ57" t="e">
        <f>AND(#REF!,"AAAAAH8q3z0=")</f>
        <v>#REF!</v>
      </c>
      <c r="BK57" t="e">
        <f>AND(#REF!,"AAAAAH8q3z4=")</f>
        <v>#REF!</v>
      </c>
      <c r="BL57" t="e">
        <f>AND(#REF!,"AAAAAH8q3z8=")</f>
        <v>#REF!</v>
      </c>
      <c r="BM57" t="e">
        <f>AND(#REF!,"AAAAAH8q30A=")</f>
        <v>#REF!</v>
      </c>
      <c r="BN57" t="e">
        <f>AND(#REF!,"AAAAAH8q30E=")</f>
        <v>#REF!</v>
      </c>
      <c r="BO57" t="e">
        <f>AND(#REF!,"AAAAAH8q30I=")</f>
        <v>#REF!</v>
      </c>
      <c r="BP57" t="e">
        <f>AND(#REF!,"AAAAAH8q30M=")</f>
        <v>#REF!</v>
      </c>
      <c r="BQ57" t="e">
        <f>AND(#REF!,"AAAAAH8q30Q=")</f>
        <v>#REF!</v>
      </c>
      <c r="BR57" t="e">
        <f>AND(#REF!,"AAAAAH8q30U=")</f>
        <v>#REF!</v>
      </c>
      <c r="BS57" t="e">
        <f>AND(#REF!,"AAAAAH8q30Y=")</f>
        <v>#REF!</v>
      </c>
      <c r="BT57" t="e">
        <f>AND(#REF!,"AAAAAH8q30c=")</f>
        <v>#REF!</v>
      </c>
      <c r="BU57" t="e">
        <f>IF(#REF!,"AAAAAH8q30g=",0)</f>
        <v>#REF!</v>
      </c>
      <c r="BV57" t="e">
        <f>AND(#REF!,"AAAAAH8q30k=")</f>
        <v>#REF!</v>
      </c>
      <c r="BW57" t="e">
        <f>AND(#REF!,"AAAAAH8q30o=")</f>
        <v>#REF!</v>
      </c>
      <c r="BX57" t="e">
        <f>AND(#REF!,"AAAAAH8q30s=")</f>
        <v>#REF!</v>
      </c>
      <c r="BY57" t="e">
        <f>AND(#REF!,"AAAAAH8q30w=")</f>
        <v>#REF!</v>
      </c>
      <c r="BZ57" t="e">
        <f>AND(#REF!,"AAAAAH8q300=")</f>
        <v>#REF!</v>
      </c>
      <c r="CA57" t="e">
        <f>AND(#REF!,"AAAAAH8q304=")</f>
        <v>#REF!</v>
      </c>
      <c r="CB57" t="e">
        <f>AND(#REF!,"AAAAAH8q308=")</f>
        <v>#REF!</v>
      </c>
      <c r="CC57" t="e">
        <f>AND(#REF!,"AAAAAH8q31A=")</f>
        <v>#REF!</v>
      </c>
      <c r="CD57" t="e">
        <f>AND(#REF!,"AAAAAH8q31E=")</f>
        <v>#REF!</v>
      </c>
      <c r="CE57" t="e">
        <f>AND(#REF!,"AAAAAH8q31I=")</f>
        <v>#REF!</v>
      </c>
      <c r="CF57" t="e">
        <f>AND(#REF!,"AAAAAH8q31M=")</f>
        <v>#REF!</v>
      </c>
      <c r="CG57" t="e">
        <f>AND(#REF!,"AAAAAH8q31Q=")</f>
        <v>#REF!</v>
      </c>
      <c r="CH57" t="e">
        <f>AND(#REF!,"AAAAAH8q31U=")</f>
        <v>#REF!</v>
      </c>
      <c r="CI57" t="e">
        <f>AND(#REF!,"AAAAAH8q31Y=")</f>
        <v>#REF!</v>
      </c>
      <c r="CJ57" t="e">
        <f>AND(#REF!,"AAAAAH8q31c=")</f>
        <v>#REF!</v>
      </c>
      <c r="CK57" t="e">
        <f>AND(#REF!,"AAAAAH8q31g=")</f>
        <v>#REF!</v>
      </c>
      <c r="CL57" t="e">
        <f>AND(#REF!,"AAAAAH8q31k=")</f>
        <v>#REF!</v>
      </c>
      <c r="CM57" t="e">
        <f>AND(#REF!,"AAAAAH8q31o=")</f>
        <v>#REF!</v>
      </c>
      <c r="CN57" t="e">
        <f>AND(#REF!,"AAAAAH8q31s=")</f>
        <v>#REF!</v>
      </c>
      <c r="CO57" t="e">
        <f>AND(#REF!,"AAAAAH8q31w=")</f>
        <v>#REF!</v>
      </c>
      <c r="CP57" t="e">
        <f>AND(#REF!,"AAAAAH8q310=")</f>
        <v>#REF!</v>
      </c>
      <c r="CQ57" t="e">
        <f>AND(#REF!,"AAAAAH8q314=")</f>
        <v>#REF!</v>
      </c>
      <c r="CR57" t="e">
        <f>AND(#REF!,"AAAAAH8q318=")</f>
        <v>#REF!</v>
      </c>
      <c r="CS57" t="e">
        <f>AND(#REF!,"AAAAAH8q32A=")</f>
        <v>#REF!</v>
      </c>
      <c r="CT57" t="e">
        <f>AND(#REF!,"AAAAAH8q32E=")</f>
        <v>#REF!</v>
      </c>
      <c r="CU57" t="e">
        <f>AND(#REF!,"AAAAAH8q32I=")</f>
        <v>#REF!</v>
      </c>
      <c r="CV57" t="e">
        <f>IF(#REF!,"AAAAAH8q32M=",0)</f>
        <v>#REF!</v>
      </c>
      <c r="CW57" t="e">
        <f>AND(#REF!,"AAAAAH8q32Q=")</f>
        <v>#REF!</v>
      </c>
      <c r="CX57" t="e">
        <f>AND(#REF!,"AAAAAH8q32U=")</f>
        <v>#REF!</v>
      </c>
      <c r="CY57" t="e">
        <f>AND(#REF!,"AAAAAH8q32Y=")</f>
        <v>#REF!</v>
      </c>
      <c r="CZ57" t="e">
        <f>AND(#REF!,"AAAAAH8q32c=")</f>
        <v>#REF!</v>
      </c>
      <c r="DA57" t="e">
        <f>AND(#REF!,"AAAAAH8q32g=")</f>
        <v>#REF!</v>
      </c>
      <c r="DB57" t="e">
        <f>AND(#REF!,"AAAAAH8q32k=")</f>
        <v>#REF!</v>
      </c>
      <c r="DC57" t="e">
        <f>AND(#REF!,"AAAAAH8q32o=")</f>
        <v>#REF!</v>
      </c>
      <c r="DD57" t="e">
        <f>AND(#REF!,"AAAAAH8q32s=")</f>
        <v>#REF!</v>
      </c>
      <c r="DE57" t="e">
        <f>AND(#REF!,"AAAAAH8q32w=")</f>
        <v>#REF!</v>
      </c>
      <c r="DF57" t="e">
        <f>AND(#REF!,"AAAAAH8q320=")</f>
        <v>#REF!</v>
      </c>
      <c r="DG57" t="e">
        <f>AND(#REF!,"AAAAAH8q324=")</f>
        <v>#REF!</v>
      </c>
      <c r="DH57" t="e">
        <f>AND(#REF!,"AAAAAH8q328=")</f>
        <v>#REF!</v>
      </c>
      <c r="DI57" t="e">
        <f>AND(#REF!,"AAAAAH8q33A=")</f>
        <v>#REF!</v>
      </c>
      <c r="DJ57" t="e">
        <f>AND(#REF!,"AAAAAH8q33E=")</f>
        <v>#REF!</v>
      </c>
      <c r="DK57" t="e">
        <f>AND(#REF!,"AAAAAH8q33I=")</f>
        <v>#REF!</v>
      </c>
      <c r="DL57" t="e">
        <f>AND(#REF!,"AAAAAH8q33M=")</f>
        <v>#REF!</v>
      </c>
      <c r="DM57" t="e">
        <f>AND(#REF!,"AAAAAH8q33Q=")</f>
        <v>#REF!</v>
      </c>
      <c r="DN57" t="e">
        <f>AND(#REF!,"AAAAAH8q33U=")</f>
        <v>#REF!</v>
      </c>
      <c r="DO57" t="e">
        <f>AND(#REF!,"AAAAAH8q33Y=")</f>
        <v>#REF!</v>
      </c>
      <c r="DP57" t="e">
        <f>AND(#REF!,"AAAAAH8q33c=")</f>
        <v>#REF!</v>
      </c>
      <c r="DQ57" t="e">
        <f>AND(#REF!,"AAAAAH8q33g=")</f>
        <v>#REF!</v>
      </c>
      <c r="DR57" t="e">
        <f>AND(#REF!,"AAAAAH8q33k=")</f>
        <v>#REF!</v>
      </c>
      <c r="DS57" t="e">
        <f>AND(#REF!,"AAAAAH8q33o=")</f>
        <v>#REF!</v>
      </c>
      <c r="DT57" t="e">
        <f>AND(#REF!,"AAAAAH8q33s=")</f>
        <v>#REF!</v>
      </c>
      <c r="DU57" t="e">
        <f>AND(#REF!,"AAAAAH8q33w=")</f>
        <v>#REF!</v>
      </c>
      <c r="DV57" t="e">
        <f>AND(#REF!,"AAAAAH8q330=")</f>
        <v>#REF!</v>
      </c>
      <c r="DW57" t="e">
        <f>IF(#REF!,"AAAAAH8q334=",0)</f>
        <v>#REF!</v>
      </c>
      <c r="DX57" t="e">
        <f>AND(#REF!,"AAAAAH8q338=")</f>
        <v>#REF!</v>
      </c>
      <c r="DY57" t="e">
        <f>AND(#REF!,"AAAAAH8q34A=")</f>
        <v>#REF!</v>
      </c>
      <c r="DZ57" t="e">
        <f>AND(#REF!,"AAAAAH8q34E=")</f>
        <v>#REF!</v>
      </c>
      <c r="EA57" t="e">
        <f>AND(#REF!,"AAAAAH8q34I=")</f>
        <v>#REF!</v>
      </c>
      <c r="EB57" t="e">
        <f>AND(#REF!,"AAAAAH8q34M=")</f>
        <v>#REF!</v>
      </c>
      <c r="EC57" t="e">
        <f>AND(#REF!,"AAAAAH8q34Q=")</f>
        <v>#REF!</v>
      </c>
      <c r="ED57" t="e">
        <f>AND(#REF!,"AAAAAH8q34U=")</f>
        <v>#REF!</v>
      </c>
      <c r="EE57" t="e">
        <f>AND(#REF!,"AAAAAH8q34Y=")</f>
        <v>#REF!</v>
      </c>
      <c r="EF57" t="e">
        <f>AND(#REF!,"AAAAAH8q34c=")</f>
        <v>#REF!</v>
      </c>
      <c r="EG57" t="e">
        <f>AND(#REF!,"AAAAAH8q34g=")</f>
        <v>#REF!</v>
      </c>
      <c r="EH57" t="e">
        <f>AND(#REF!,"AAAAAH8q34k=")</f>
        <v>#REF!</v>
      </c>
      <c r="EI57" t="e">
        <f>AND(#REF!,"AAAAAH8q34o=")</f>
        <v>#REF!</v>
      </c>
      <c r="EJ57" t="e">
        <f>AND(#REF!,"AAAAAH8q34s=")</f>
        <v>#REF!</v>
      </c>
      <c r="EK57" t="e">
        <f>AND(#REF!,"AAAAAH8q34w=")</f>
        <v>#REF!</v>
      </c>
      <c r="EL57" t="e">
        <f>AND(#REF!,"AAAAAH8q340=")</f>
        <v>#REF!</v>
      </c>
      <c r="EM57" t="e">
        <f>AND(#REF!,"AAAAAH8q344=")</f>
        <v>#REF!</v>
      </c>
      <c r="EN57" t="e">
        <f>AND(#REF!,"AAAAAH8q348=")</f>
        <v>#REF!</v>
      </c>
      <c r="EO57" t="e">
        <f>AND(#REF!,"AAAAAH8q35A=")</f>
        <v>#REF!</v>
      </c>
      <c r="EP57" t="e">
        <f>AND(#REF!,"AAAAAH8q35E=")</f>
        <v>#REF!</v>
      </c>
      <c r="EQ57" t="e">
        <f>AND(#REF!,"AAAAAH8q35I=")</f>
        <v>#REF!</v>
      </c>
      <c r="ER57" t="e">
        <f>AND(#REF!,"AAAAAH8q35M=")</f>
        <v>#REF!</v>
      </c>
      <c r="ES57" t="e">
        <f>AND(#REF!,"AAAAAH8q35Q=")</f>
        <v>#REF!</v>
      </c>
      <c r="ET57" t="e">
        <f>AND(#REF!,"AAAAAH8q35U=")</f>
        <v>#REF!</v>
      </c>
      <c r="EU57" t="e">
        <f>AND(#REF!,"AAAAAH8q35Y=")</f>
        <v>#REF!</v>
      </c>
      <c r="EV57" t="e">
        <f>AND(#REF!,"AAAAAH8q35c=")</f>
        <v>#REF!</v>
      </c>
      <c r="EW57" t="e">
        <f>AND(#REF!,"AAAAAH8q35g=")</f>
        <v>#REF!</v>
      </c>
      <c r="EX57" t="e">
        <f>IF(#REF!,"AAAAAH8q35k=",0)</f>
        <v>#REF!</v>
      </c>
      <c r="EY57" t="e">
        <f>AND(#REF!,"AAAAAH8q35o=")</f>
        <v>#REF!</v>
      </c>
      <c r="EZ57" t="e">
        <f>AND(#REF!,"AAAAAH8q35s=")</f>
        <v>#REF!</v>
      </c>
      <c r="FA57" t="e">
        <f>AND(#REF!,"AAAAAH8q35w=")</f>
        <v>#REF!</v>
      </c>
      <c r="FB57" t="e">
        <f>AND(#REF!,"AAAAAH8q350=")</f>
        <v>#REF!</v>
      </c>
      <c r="FC57" t="e">
        <f>AND(#REF!,"AAAAAH8q354=")</f>
        <v>#REF!</v>
      </c>
      <c r="FD57" t="e">
        <f>AND(#REF!,"AAAAAH8q358=")</f>
        <v>#REF!</v>
      </c>
      <c r="FE57" t="e">
        <f>AND(#REF!,"AAAAAH8q36A=")</f>
        <v>#REF!</v>
      </c>
      <c r="FF57" t="e">
        <f>AND(#REF!,"AAAAAH8q36E=")</f>
        <v>#REF!</v>
      </c>
      <c r="FG57" t="e">
        <f>AND(#REF!,"AAAAAH8q36I=")</f>
        <v>#REF!</v>
      </c>
      <c r="FH57" t="e">
        <f>AND(#REF!,"AAAAAH8q36M=")</f>
        <v>#REF!</v>
      </c>
      <c r="FI57" t="e">
        <f>AND(#REF!,"AAAAAH8q36Q=")</f>
        <v>#REF!</v>
      </c>
      <c r="FJ57" t="e">
        <f>AND(#REF!,"AAAAAH8q36U=")</f>
        <v>#REF!</v>
      </c>
      <c r="FK57" t="e">
        <f>AND(#REF!,"AAAAAH8q36Y=")</f>
        <v>#REF!</v>
      </c>
      <c r="FL57" t="e">
        <f>AND(#REF!,"AAAAAH8q36c=")</f>
        <v>#REF!</v>
      </c>
      <c r="FM57" t="e">
        <f>AND(#REF!,"AAAAAH8q36g=")</f>
        <v>#REF!</v>
      </c>
      <c r="FN57" t="e">
        <f>AND(#REF!,"AAAAAH8q36k=")</f>
        <v>#REF!</v>
      </c>
      <c r="FO57" t="e">
        <f>AND(#REF!,"AAAAAH8q36o=")</f>
        <v>#REF!</v>
      </c>
      <c r="FP57" t="e">
        <f>AND(#REF!,"AAAAAH8q36s=")</f>
        <v>#REF!</v>
      </c>
      <c r="FQ57" t="e">
        <f>AND(#REF!,"AAAAAH8q36w=")</f>
        <v>#REF!</v>
      </c>
      <c r="FR57" t="e">
        <f>AND(#REF!,"AAAAAH8q360=")</f>
        <v>#REF!</v>
      </c>
      <c r="FS57" t="e">
        <f>AND(#REF!,"AAAAAH8q364=")</f>
        <v>#REF!</v>
      </c>
      <c r="FT57" t="e">
        <f>AND(#REF!,"AAAAAH8q368=")</f>
        <v>#REF!</v>
      </c>
      <c r="FU57" t="e">
        <f>AND(#REF!,"AAAAAH8q37A=")</f>
        <v>#REF!</v>
      </c>
      <c r="FV57" t="e">
        <f>AND(#REF!,"AAAAAH8q37E=")</f>
        <v>#REF!</v>
      </c>
      <c r="FW57" t="e">
        <f>AND(#REF!,"AAAAAH8q37I=")</f>
        <v>#REF!</v>
      </c>
      <c r="FX57" t="e">
        <f>AND(#REF!,"AAAAAH8q37M=")</f>
        <v>#REF!</v>
      </c>
      <c r="FY57" t="e">
        <f>IF(#REF!,"AAAAAH8q37Q=",0)</f>
        <v>#REF!</v>
      </c>
      <c r="FZ57" t="e">
        <f>AND(#REF!,"AAAAAH8q37U=")</f>
        <v>#REF!</v>
      </c>
      <c r="GA57" t="e">
        <f>AND(#REF!,"AAAAAH8q37Y=")</f>
        <v>#REF!</v>
      </c>
      <c r="GB57" t="e">
        <f>AND(#REF!,"AAAAAH8q37c=")</f>
        <v>#REF!</v>
      </c>
      <c r="GC57" t="e">
        <f>AND(#REF!,"AAAAAH8q37g=")</f>
        <v>#REF!</v>
      </c>
      <c r="GD57" t="e">
        <f>AND(#REF!,"AAAAAH8q37k=")</f>
        <v>#REF!</v>
      </c>
      <c r="GE57" t="e">
        <f>AND(#REF!,"AAAAAH8q37o=")</f>
        <v>#REF!</v>
      </c>
      <c r="GF57" t="e">
        <f>AND(#REF!,"AAAAAH8q37s=")</f>
        <v>#REF!</v>
      </c>
      <c r="GG57" t="e">
        <f>AND(#REF!,"AAAAAH8q37w=")</f>
        <v>#REF!</v>
      </c>
      <c r="GH57" t="e">
        <f>AND(#REF!,"AAAAAH8q370=")</f>
        <v>#REF!</v>
      </c>
      <c r="GI57" t="e">
        <f>AND(#REF!,"AAAAAH8q374=")</f>
        <v>#REF!</v>
      </c>
      <c r="GJ57" t="e">
        <f>AND(#REF!,"AAAAAH8q378=")</f>
        <v>#REF!</v>
      </c>
      <c r="GK57" t="e">
        <f>AND(#REF!,"AAAAAH8q38A=")</f>
        <v>#REF!</v>
      </c>
      <c r="GL57" t="e">
        <f>AND(#REF!,"AAAAAH8q38E=")</f>
        <v>#REF!</v>
      </c>
      <c r="GM57" t="e">
        <f>AND(#REF!,"AAAAAH8q38I=")</f>
        <v>#REF!</v>
      </c>
      <c r="GN57" t="e">
        <f>AND(#REF!,"AAAAAH8q38M=")</f>
        <v>#REF!</v>
      </c>
      <c r="GO57" t="e">
        <f>AND(#REF!,"AAAAAH8q38Q=")</f>
        <v>#REF!</v>
      </c>
      <c r="GP57" t="e">
        <f>AND(#REF!,"AAAAAH8q38U=")</f>
        <v>#REF!</v>
      </c>
      <c r="GQ57" t="e">
        <f>AND(#REF!,"AAAAAH8q38Y=")</f>
        <v>#REF!</v>
      </c>
      <c r="GR57" t="e">
        <f>AND(#REF!,"AAAAAH8q38c=")</f>
        <v>#REF!</v>
      </c>
      <c r="GS57" t="e">
        <f>AND(#REF!,"AAAAAH8q38g=")</f>
        <v>#REF!</v>
      </c>
      <c r="GT57" t="e">
        <f>AND(#REF!,"AAAAAH8q38k=")</f>
        <v>#REF!</v>
      </c>
      <c r="GU57" t="e">
        <f>AND(#REF!,"AAAAAH8q38o=")</f>
        <v>#REF!</v>
      </c>
      <c r="GV57" t="e">
        <f>AND(#REF!,"AAAAAH8q38s=")</f>
        <v>#REF!</v>
      </c>
      <c r="GW57" t="e">
        <f>AND(#REF!,"AAAAAH8q38w=")</f>
        <v>#REF!</v>
      </c>
      <c r="GX57" t="e">
        <f>AND(#REF!,"AAAAAH8q380=")</f>
        <v>#REF!</v>
      </c>
      <c r="GY57" t="e">
        <f>AND(#REF!,"AAAAAH8q384=")</f>
        <v>#REF!</v>
      </c>
      <c r="GZ57" t="e">
        <f>IF(#REF!,"AAAAAH8q388=",0)</f>
        <v>#REF!</v>
      </c>
      <c r="HA57" t="e">
        <f>AND(#REF!,"AAAAAH8q39A=")</f>
        <v>#REF!</v>
      </c>
      <c r="HB57" t="e">
        <f>AND(#REF!,"AAAAAH8q39E=")</f>
        <v>#REF!</v>
      </c>
      <c r="HC57" t="e">
        <f>AND(#REF!,"AAAAAH8q39I=")</f>
        <v>#REF!</v>
      </c>
      <c r="HD57" t="e">
        <f>AND(#REF!,"AAAAAH8q39M=")</f>
        <v>#REF!</v>
      </c>
      <c r="HE57" t="e">
        <f>AND(#REF!,"AAAAAH8q39Q=")</f>
        <v>#REF!</v>
      </c>
      <c r="HF57" t="e">
        <f>AND(#REF!,"AAAAAH8q39U=")</f>
        <v>#REF!</v>
      </c>
      <c r="HG57" t="e">
        <f>AND(#REF!,"AAAAAH8q39Y=")</f>
        <v>#REF!</v>
      </c>
      <c r="HH57" t="e">
        <f>AND(#REF!,"AAAAAH8q39c=")</f>
        <v>#REF!</v>
      </c>
      <c r="HI57" t="e">
        <f>AND(#REF!,"AAAAAH8q39g=")</f>
        <v>#REF!</v>
      </c>
      <c r="HJ57" t="e">
        <f>AND(#REF!,"AAAAAH8q39k=")</f>
        <v>#REF!</v>
      </c>
      <c r="HK57" t="e">
        <f>AND(#REF!,"AAAAAH8q39o=")</f>
        <v>#REF!</v>
      </c>
      <c r="HL57" t="e">
        <f>AND(#REF!,"AAAAAH8q39s=")</f>
        <v>#REF!</v>
      </c>
      <c r="HM57" t="e">
        <f>AND(#REF!,"AAAAAH8q39w=")</f>
        <v>#REF!</v>
      </c>
      <c r="HN57" t="e">
        <f>AND(#REF!,"AAAAAH8q390=")</f>
        <v>#REF!</v>
      </c>
      <c r="HO57" t="e">
        <f>AND(#REF!,"AAAAAH8q394=")</f>
        <v>#REF!</v>
      </c>
      <c r="HP57" t="e">
        <f>AND(#REF!,"AAAAAH8q398=")</f>
        <v>#REF!</v>
      </c>
      <c r="HQ57" t="e">
        <f>AND(#REF!,"AAAAAH8q3+A=")</f>
        <v>#REF!</v>
      </c>
      <c r="HR57" t="e">
        <f>AND(#REF!,"AAAAAH8q3+E=")</f>
        <v>#REF!</v>
      </c>
      <c r="HS57" t="e">
        <f>AND(#REF!,"AAAAAH8q3+I=")</f>
        <v>#REF!</v>
      </c>
      <c r="HT57" t="e">
        <f>AND(#REF!,"AAAAAH8q3+M=")</f>
        <v>#REF!</v>
      </c>
      <c r="HU57" t="e">
        <f>AND(#REF!,"AAAAAH8q3+Q=")</f>
        <v>#REF!</v>
      </c>
      <c r="HV57" t="e">
        <f>AND(#REF!,"AAAAAH8q3+U=")</f>
        <v>#REF!</v>
      </c>
      <c r="HW57" t="e">
        <f>AND(#REF!,"AAAAAH8q3+Y=")</f>
        <v>#REF!</v>
      </c>
      <c r="HX57" t="e">
        <f>AND(#REF!,"AAAAAH8q3+c=")</f>
        <v>#REF!</v>
      </c>
      <c r="HY57" t="e">
        <f>AND(#REF!,"AAAAAH8q3+g=")</f>
        <v>#REF!</v>
      </c>
      <c r="HZ57" t="e">
        <f>AND(#REF!,"AAAAAH8q3+k=")</f>
        <v>#REF!</v>
      </c>
      <c r="IA57" t="e">
        <f>IF(#REF!,"AAAAAH8q3+o=",0)</f>
        <v>#REF!</v>
      </c>
      <c r="IB57" t="e">
        <f>AND(#REF!,"AAAAAH8q3+s=")</f>
        <v>#REF!</v>
      </c>
      <c r="IC57" t="e">
        <f>AND(#REF!,"AAAAAH8q3+w=")</f>
        <v>#REF!</v>
      </c>
      <c r="ID57" t="e">
        <f>AND(#REF!,"AAAAAH8q3+0=")</f>
        <v>#REF!</v>
      </c>
      <c r="IE57" t="e">
        <f>AND(#REF!,"AAAAAH8q3+4=")</f>
        <v>#REF!</v>
      </c>
      <c r="IF57" t="e">
        <f>AND(#REF!,"AAAAAH8q3+8=")</f>
        <v>#REF!</v>
      </c>
      <c r="IG57" t="e">
        <f>AND(#REF!,"AAAAAH8q3/A=")</f>
        <v>#REF!</v>
      </c>
      <c r="IH57" t="e">
        <f>AND(#REF!,"AAAAAH8q3/E=")</f>
        <v>#REF!</v>
      </c>
      <c r="II57" t="e">
        <f>AND(#REF!,"AAAAAH8q3/I=")</f>
        <v>#REF!</v>
      </c>
      <c r="IJ57" t="e">
        <f>AND(#REF!,"AAAAAH8q3/M=")</f>
        <v>#REF!</v>
      </c>
      <c r="IK57" t="e">
        <f>AND(#REF!,"AAAAAH8q3/Q=")</f>
        <v>#REF!</v>
      </c>
      <c r="IL57" t="e">
        <f>AND(#REF!,"AAAAAH8q3/U=")</f>
        <v>#REF!</v>
      </c>
      <c r="IM57" t="e">
        <f>AND(#REF!,"AAAAAH8q3/Y=")</f>
        <v>#REF!</v>
      </c>
      <c r="IN57" t="e">
        <f>AND(#REF!,"AAAAAH8q3/c=")</f>
        <v>#REF!</v>
      </c>
      <c r="IO57" t="e">
        <f>AND(#REF!,"AAAAAH8q3/g=")</f>
        <v>#REF!</v>
      </c>
      <c r="IP57" t="e">
        <f>AND(#REF!,"AAAAAH8q3/k=")</f>
        <v>#REF!</v>
      </c>
      <c r="IQ57" t="e">
        <f>AND(#REF!,"AAAAAH8q3/o=")</f>
        <v>#REF!</v>
      </c>
      <c r="IR57" t="e">
        <f>AND(#REF!,"AAAAAH8q3/s=")</f>
        <v>#REF!</v>
      </c>
      <c r="IS57" t="e">
        <f>AND(#REF!,"AAAAAH8q3/w=")</f>
        <v>#REF!</v>
      </c>
      <c r="IT57" t="e">
        <f>AND(#REF!,"AAAAAH8q3/0=")</f>
        <v>#REF!</v>
      </c>
      <c r="IU57" t="e">
        <f>AND(#REF!,"AAAAAH8q3/4=")</f>
        <v>#REF!</v>
      </c>
      <c r="IV57" t="e">
        <f>AND(#REF!,"AAAAAH8q3/8=")</f>
        <v>#REF!</v>
      </c>
    </row>
    <row r="58" spans="1:256" x14ac:dyDescent="0.2">
      <c r="A58" t="e">
        <f>AND(#REF!,"AAAAAA9/vwA=")</f>
        <v>#REF!</v>
      </c>
      <c r="B58" t="e">
        <f>AND(#REF!,"AAAAAA9/vwE=")</f>
        <v>#REF!</v>
      </c>
      <c r="C58" t="e">
        <f>AND(#REF!,"AAAAAA9/vwI=")</f>
        <v>#REF!</v>
      </c>
      <c r="D58" t="e">
        <f>AND(#REF!,"AAAAAA9/vwM=")</f>
        <v>#REF!</v>
      </c>
      <c r="E58" t="e">
        <f>AND(#REF!,"AAAAAA9/vwQ=")</f>
        <v>#REF!</v>
      </c>
      <c r="F58" t="e">
        <f>IF(#REF!,"AAAAAA9/vwU=",0)</f>
        <v>#REF!</v>
      </c>
      <c r="G58" t="e">
        <f>AND(#REF!,"AAAAAA9/vwY=")</f>
        <v>#REF!</v>
      </c>
      <c r="H58" t="e">
        <f>AND(#REF!,"AAAAAA9/vwc=")</f>
        <v>#REF!</v>
      </c>
      <c r="I58" t="e">
        <f>AND(#REF!,"AAAAAA9/vwg=")</f>
        <v>#REF!</v>
      </c>
      <c r="J58" t="e">
        <f>AND(#REF!,"AAAAAA9/vwk=")</f>
        <v>#REF!</v>
      </c>
      <c r="K58" t="e">
        <f>AND(#REF!,"AAAAAA9/vwo=")</f>
        <v>#REF!</v>
      </c>
      <c r="L58" t="e">
        <f>AND(#REF!,"AAAAAA9/vws=")</f>
        <v>#REF!</v>
      </c>
      <c r="M58" t="e">
        <f>AND(#REF!,"AAAAAA9/vww=")</f>
        <v>#REF!</v>
      </c>
      <c r="N58" t="e">
        <f>AND(#REF!,"AAAAAA9/vw0=")</f>
        <v>#REF!</v>
      </c>
      <c r="O58" t="e">
        <f>AND(#REF!,"AAAAAA9/vw4=")</f>
        <v>#REF!</v>
      </c>
      <c r="P58" t="e">
        <f>AND(#REF!,"AAAAAA9/vw8=")</f>
        <v>#REF!</v>
      </c>
      <c r="Q58" t="e">
        <f>AND(#REF!,"AAAAAA9/vxA=")</f>
        <v>#REF!</v>
      </c>
      <c r="R58" t="e">
        <f>AND(#REF!,"AAAAAA9/vxE=")</f>
        <v>#REF!</v>
      </c>
      <c r="S58" t="e">
        <f>AND(#REF!,"AAAAAA9/vxI=")</f>
        <v>#REF!</v>
      </c>
      <c r="T58" t="e">
        <f>AND(#REF!,"AAAAAA9/vxM=")</f>
        <v>#REF!</v>
      </c>
      <c r="U58" t="e">
        <f>AND(#REF!,"AAAAAA9/vxQ=")</f>
        <v>#REF!</v>
      </c>
      <c r="V58" t="e">
        <f>AND(#REF!,"AAAAAA9/vxU=")</f>
        <v>#REF!</v>
      </c>
      <c r="W58" t="e">
        <f>AND(#REF!,"AAAAAA9/vxY=")</f>
        <v>#REF!</v>
      </c>
      <c r="X58" t="e">
        <f>AND(#REF!,"AAAAAA9/vxc=")</f>
        <v>#REF!</v>
      </c>
      <c r="Y58" t="e">
        <f>AND(#REF!,"AAAAAA9/vxg=")</f>
        <v>#REF!</v>
      </c>
      <c r="Z58" t="e">
        <f>AND(#REF!,"AAAAAA9/vxk=")</f>
        <v>#REF!</v>
      </c>
      <c r="AA58" t="e">
        <f>AND(#REF!,"AAAAAA9/vxo=")</f>
        <v>#REF!</v>
      </c>
      <c r="AB58" t="e">
        <f>AND(#REF!,"AAAAAA9/vxs=")</f>
        <v>#REF!</v>
      </c>
      <c r="AC58" t="e">
        <f>AND(#REF!,"AAAAAA9/vxw=")</f>
        <v>#REF!</v>
      </c>
      <c r="AD58" t="e">
        <f>AND(#REF!,"AAAAAA9/vx0=")</f>
        <v>#REF!</v>
      </c>
      <c r="AE58" t="e">
        <f>AND(#REF!,"AAAAAA9/vx4=")</f>
        <v>#REF!</v>
      </c>
      <c r="AF58" t="e">
        <f>AND(#REF!,"AAAAAA9/vx8=")</f>
        <v>#REF!</v>
      </c>
      <c r="AG58" t="e">
        <f>IF(#REF!,"AAAAAA9/vyA=",0)</f>
        <v>#REF!</v>
      </c>
      <c r="AH58" t="e">
        <f>AND(#REF!,"AAAAAA9/vyE=")</f>
        <v>#REF!</v>
      </c>
      <c r="AI58" t="e">
        <f>AND(#REF!,"AAAAAA9/vyI=")</f>
        <v>#REF!</v>
      </c>
      <c r="AJ58" t="e">
        <f>AND(#REF!,"AAAAAA9/vyM=")</f>
        <v>#REF!</v>
      </c>
      <c r="AK58" t="e">
        <f>AND(#REF!,"AAAAAA9/vyQ=")</f>
        <v>#REF!</v>
      </c>
      <c r="AL58" t="e">
        <f>AND(#REF!,"AAAAAA9/vyU=")</f>
        <v>#REF!</v>
      </c>
      <c r="AM58" t="e">
        <f>AND(#REF!,"AAAAAA9/vyY=")</f>
        <v>#REF!</v>
      </c>
      <c r="AN58" t="e">
        <f>AND(#REF!,"AAAAAA9/vyc=")</f>
        <v>#REF!</v>
      </c>
      <c r="AO58" t="e">
        <f>AND(#REF!,"AAAAAA9/vyg=")</f>
        <v>#REF!</v>
      </c>
      <c r="AP58" t="e">
        <f>AND(#REF!,"AAAAAA9/vyk=")</f>
        <v>#REF!</v>
      </c>
      <c r="AQ58" t="e">
        <f>AND(#REF!,"AAAAAA9/vyo=")</f>
        <v>#REF!</v>
      </c>
      <c r="AR58" t="e">
        <f>AND(#REF!,"AAAAAA9/vys=")</f>
        <v>#REF!</v>
      </c>
      <c r="AS58" t="e">
        <f>AND(#REF!,"AAAAAA9/vyw=")</f>
        <v>#REF!</v>
      </c>
      <c r="AT58" t="e">
        <f>AND(#REF!,"AAAAAA9/vy0=")</f>
        <v>#REF!</v>
      </c>
      <c r="AU58" t="e">
        <f>AND(#REF!,"AAAAAA9/vy4=")</f>
        <v>#REF!</v>
      </c>
      <c r="AV58" t="e">
        <f>AND(#REF!,"AAAAAA9/vy8=")</f>
        <v>#REF!</v>
      </c>
      <c r="AW58" t="e">
        <f>AND(#REF!,"AAAAAA9/vzA=")</f>
        <v>#REF!</v>
      </c>
      <c r="AX58" t="e">
        <f>AND(#REF!,"AAAAAA9/vzE=")</f>
        <v>#REF!</v>
      </c>
      <c r="AY58" t="e">
        <f>AND(#REF!,"AAAAAA9/vzI=")</f>
        <v>#REF!</v>
      </c>
      <c r="AZ58" t="e">
        <f>AND(#REF!,"AAAAAA9/vzM=")</f>
        <v>#REF!</v>
      </c>
      <c r="BA58" t="e">
        <f>AND(#REF!,"AAAAAA9/vzQ=")</f>
        <v>#REF!</v>
      </c>
      <c r="BB58" t="e">
        <f>AND(#REF!,"AAAAAA9/vzU=")</f>
        <v>#REF!</v>
      </c>
      <c r="BC58" t="e">
        <f>AND(#REF!,"AAAAAA9/vzY=")</f>
        <v>#REF!</v>
      </c>
      <c r="BD58" t="e">
        <f>AND(#REF!,"AAAAAA9/vzc=")</f>
        <v>#REF!</v>
      </c>
      <c r="BE58" t="e">
        <f>AND(#REF!,"AAAAAA9/vzg=")</f>
        <v>#REF!</v>
      </c>
      <c r="BF58" t="e">
        <f>AND(#REF!,"AAAAAA9/vzk=")</f>
        <v>#REF!</v>
      </c>
      <c r="BG58" t="e">
        <f>AND(#REF!,"AAAAAA9/vzo=")</f>
        <v>#REF!</v>
      </c>
      <c r="BH58" t="e">
        <f>IF(#REF!,"AAAAAA9/vzs=",0)</f>
        <v>#REF!</v>
      </c>
      <c r="BI58" t="e">
        <f>AND(#REF!,"AAAAAA9/vzw=")</f>
        <v>#REF!</v>
      </c>
      <c r="BJ58" t="e">
        <f>AND(#REF!,"AAAAAA9/vz0=")</f>
        <v>#REF!</v>
      </c>
      <c r="BK58" t="e">
        <f>AND(#REF!,"AAAAAA9/vz4=")</f>
        <v>#REF!</v>
      </c>
      <c r="BL58" t="e">
        <f>AND(#REF!,"AAAAAA9/vz8=")</f>
        <v>#REF!</v>
      </c>
      <c r="BM58" t="e">
        <f>AND(#REF!,"AAAAAA9/v0A=")</f>
        <v>#REF!</v>
      </c>
      <c r="BN58" t="e">
        <f>AND(#REF!,"AAAAAA9/v0E=")</f>
        <v>#REF!</v>
      </c>
      <c r="BO58" t="e">
        <f>AND(#REF!,"AAAAAA9/v0I=")</f>
        <v>#REF!</v>
      </c>
      <c r="BP58" t="e">
        <f>AND(#REF!,"AAAAAA9/v0M=")</f>
        <v>#REF!</v>
      </c>
      <c r="BQ58" t="e">
        <f>AND(#REF!,"AAAAAA9/v0Q=")</f>
        <v>#REF!</v>
      </c>
      <c r="BR58" t="e">
        <f>AND(#REF!,"AAAAAA9/v0U=")</f>
        <v>#REF!</v>
      </c>
      <c r="BS58" t="e">
        <f>AND(#REF!,"AAAAAA9/v0Y=")</f>
        <v>#REF!</v>
      </c>
      <c r="BT58" t="e">
        <f>AND(#REF!,"AAAAAA9/v0c=")</f>
        <v>#REF!</v>
      </c>
      <c r="BU58" t="e">
        <f>AND(#REF!,"AAAAAA9/v0g=")</f>
        <v>#REF!</v>
      </c>
      <c r="BV58" t="e">
        <f>AND(#REF!,"AAAAAA9/v0k=")</f>
        <v>#REF!</v>
      </c>
      <c r="BW58" t="e">
        <f>AND(#REF!,"AAAAAA9/v0o=")</f>
        <v>#REF!</v>
      </c>
      <c r="BX58" t="e">
        <f>AND(#REF!,"AAAAAA9/v0s=")</f>
        <v>#REF!</v>
      </c>
      <c r="BY58" t="e">
        <f>AND(#REF!,"AAAAAA9/v0w=")</f>
        <v>#REF!</v>
      </c>
      <c r="BZ58" t="e">
        <f>AND(#REF!,"AAAAAA9/v00=")</f>
        <v>#REF!</v>
      </c>
      <c r="CA58" t="e">
        <f>AND(#REF!,"AAAAAA9/v04=")</f>
        <v>#REF!</v>
      </c>
      <c r="CB58" t="e">
        <f>AND(#REF!,"AAAAAA9/v08=")</f>
        <v>#REF!</v>
      </c>
      <c r="CC58" t="e">
        <f>AND(#REF!,"AAAAAA9/v1A=")</f>
        <v>#REF!</v>
      </c>
      <c r="CD58" t="e">
        <f>AND(#REF!,"AAAAAA9/v1E=")</f>
        <v>#REF!</v>
      </c>
      <c r="CE58" t="e">
        <f>AND(#REF!,"AAAAAA9/v1I=")</f>
        <v>#REF!</v>
      </c>
      <c r="CF58" t="e">
        <f>AND(#REF!,"AAAAAA9/v1M=")</f>
        <v>#REF!</v>
      </c>
      <c r="CG58" t="e">
        <f>AND(#REF!,"AAAAAA9/v1Q=")</f>
        <v>#REF!</v>
      </c>
      <c r="CH58" t="e">
        <f>AND(#REF!,"AAAAAA9/v1U=")</f>
        <v>#REF!</v>
      </c>
      <c r="CI58" t="e">
        <f>IF(#REF!,"AAAAAA9/v1Y=",0)</f>
        <v>#REF!</v>
      </c>
      <c r="CJ58" t="e">
        <f>AND(#REF!,"AAAAAA9/v1c=")</f>
        <v>#REF!</v>
      </c>
      <c r="CK58" t="e">
        <f>AND(#REF!,"AAAAAA9/v1g=")</f>
        <v>#REF!</v>
      </c>
      <c r="CL58" t="e">
        <f>AND(#REF!,"AAAAAA9/v1k=")</f>
        <v>#REF!</v>
      </c>
      <c r="CM58" t="e">
        <f>AND(#REF!,"AAAAAA9/v1o=")</f>
        <v>#REF!</v>
      </c>
      <c r="CN58" t="e">
        <f>AND(#REF!,"AAAAAA9/v1s=")</f>
        <v>#REF!</v>
      </c>
      <c r="CO58" t="e">
        <f>AND(#REF!,"AAAAAA9/v1w=")</f>
        <v>#REF!</v>
      </c>
      <c r="CP58" t="e">
        <f>AND(#REF!,"AAAAAA9/v10=")</f>
        <v>#REF!</v>
      </c>
      <c r="CQ58" t="e">
        <f>AND(#REF!,"AAAAAA9/v14=")</f>
        <v>#REF!</v>
      </c>
      <c r="CR58" t="e">
        <f>AND(#REF!,"AAAAAA9/v18=")</f>
        <v>#REF!</v>
      </c>
      <c r="CS58" t="e">
        <f>AND(#REF!,"AAAAAA9/v2A=")</f>
        <v>#REF!</v>
      </c>
      <c r="CT58" t="e">
        <f>AND(#REF!,"AAAAAA9/v2E=")</f>
        <v>#REF!</v>
      </c>
      <c r="CU58" t="e">
        <f>AND(#REF!,"AAAAAA9/v2I=")</f>
        <v>#REF!</v>
      </c>
      <c r="CV58" t="e">
        <f>AND(#REF!,"AAAAAA9/v2M=")</f>
        <v>#REF!</v>
      </c>
      <c r="CW58" t="e">
        <f>AND(#REF!,"AAAAAA9/v2Q=")</f>
        <v>#REF!</v>
      </c>
      <c r="CX58" t="e">
        <f>AND(#REF!,"AAAAAA9/v2U=")</f>
        <v>#REF!</v>
      </c>
      <c r="CY58" t="e">
        <f>AND(#REF!,"AAAAAA9/v2Y=")</f>
        <v>#REF!</v>
      </c>
      <c r="CZ58" t="e">
        <f>AND(#REF!,"AAAAAA9/v2c=")</f>
        <v>#REF!</v>
      </c>
      <c r="DA58" t="e">
        <f>AND(#REF!,"AAAAAA9/v2g=")</f>
        <v>#REF!</v>
      </c>
      <c r="DB58" t="e">
        <f>AND(#REF!,"AAAAAA9/v2k=")</f>
        <v>#REF!</v>
      </c>
      <c r="DC58" t="e">
        <f>AND(#REF!,"AAAAAA9/v2o=")</f>
        <v>#REF!</v>
      </c>
      <c r="DD58" t="e">
        <f>AND(#REF!,"AAAAAA9/v2s=")</f>
        <v>#REF!</v>
      </c>
      <c r="DE58" t="e">
        <f>AND(#REF!,"AAAAAA9/v2w=")</f>
        <v>#REF!</v>
      </c>
      <c r="DF58" t="e">
        <f>AND(#REF!,"AAAAAA9/v20=")</f>
        <v>#REF!</v>
      </c>
      <c r="DG58" t="e">
        <f>AND(#REF!,"AAAAAA9/v24=")</f>
        <v>#REF!</v>
      </c>
      <c r="DH58" t="e">
        <f>AND(#REF!,"AAAAAA9/v28=")</f>
        <v>#REF!</v>
      </c>
      <c r="DI58" t="e">
        <f>AND(#REF!,"AAAAAA9/v3A=")</f>
        <v>#REF!</v>
      </c>
      <c r="DJ58" t="e">
        <f>IF(#REF!,"AAAAAA9/v3E=",0)</f>
        <v>#REF!</v>
      </c>
      <c r="DK58" t="e">
        <f>AND(#REF!,"AAAAAA9/v3I=")</f>
        <v>#REF!</v>
      </c>
      <c r="DL58" t="e">
        <f>AND(#REF!,"AAAAAA9/v3M=")</f>
        <v>#REF!</v>
      </c>
      <c r="DM58" t="e">
        <f>AND(#REF!,"AAAAAA9/v3Q=")</f>
        <v>#REF!</v>
      </c>
      <c r="DN58" t="e">
        <f>AND(#REF!,"AAAAAA9/v3U=")</f>
        <v>#REF!</v>
      </c>
      <c r="DO58" t="e">
        <f>AND(#REF!,"AAAAAA9/v3Y=")</f>
        <v>#REF!</v>
      </c>
      <c r="DP58" t="e">
        <f>AND(#REF!,"AAAAAA9/v3c=")</f>
        <v>#REF!</v>
      </c>
      <c r="DQ58" t="e">
        <f>AND(#REF!,"AAAAAA9/v3g=")</f>
        <v>#REF!</v>
      </c>
      <c r="DR58" t="e">
        <f>AND(#REF!,"AAAAAA9/v3k=")</f>
        <v>#REF!</v>
      </c>
      <c r="DS58" t="e">
        <f>AND(#REF!,"AAAAAA9/v3o=")</f>
        <v>#REF!</v>
      </c>
      <c r="DT58" t="e">
        <f>AND(#REF!,"AAAAAA9/v3s=")</f>
        <v>#REF!</v>
      </c>
      <c r="DU58" t="e">
        <f>AND(#REF!,"AAAAAA9/v3w=")</f>
        <v>#REF!</v>
      </c>
      <c r="DV58" t="e">
        <f>AND(#REF!,"AAAAAA9/v30=")</f>
        <v>#REF!</v>
      </c>
      <c r="DW58" t="e">
        <f>AND(#REF!,"AAAAAA9/v34=")</f>
        <v>#REF!</v>
      </c>
      <c r="DX58" t="e">
        <f>AND(#REF!,"AAAAAA9/v38=")</f>
        <v>#REF!</v>
      </c>
      <c r="DY58" t="e">
        <f>AND(#REF!,"AAAAAA9/v4A=")</f>
        <v>#REF!</v>
      </c>
      <c r="DZ58" t="e">
        <f>AND(#REF!,"AAAAAA9/v4E=")</f>
        <v>#REF!</v>
      </c>
      <c r="EA58" t="e">
        <f>AND(#REF!,"AAAAAA9/v4I=")</f>
        <v>#REF!</v>
      </c>
      <c r="EB58" t="e">
        <f>AND(#REF!,"AAAAAA9/v4M=")</f>
        <v>#REF!</v>
      </c>
      <c r="EC58" t="e">
        <f>AND(#REF!,"AAAAAA9/v4Q=")</f>
        <v>#REF!</v>
      </c>
      <c r="ED58" t="e">
        <f>AND(#REF!,"AAAAAA9/v4U=")</f>
        <v>#REF!</v>
      </c>
      <c r="EE58" t="e">
        <f>AND(#REF!,"AAAAAA9/v4Y=")</f>
        <v>#REF!</v>
      </c>
      <c r="EF58" t="e">
        <f>AND(#REF!,"AAAAAA9/v4c=")</f>
        <v>#REF!</v>
      </c>
      <c r="EG58" t="e">
        <f>AND(#REF!,"AAAAAA9/v4g=")</f>
        <v>#REF!</v>
      </c>
      <c r="EH58" t="e">
        <f>AND(#REF!,"AAAAAA9/v4k=")</f>
        <v>#REF!</v>
      </c>
      <c r="EI58" t="e">
        <f>AND(#REF!,"AAAAAA9/v4o=")</f>
        <v>#REF!</v>
      </c>
      <c r="EJ58" t="e">
        <f>AND(#REF!,"AAAAAA9/v4s=")</f>
        <v>#REF!</v>
      </c>
      <c r="EK58" t="e">
        <f>IF(#REF!,"AAAAAA9/v4w=",0)</f>
        <v>#REF!</v>
      </c>
      <c r="EL58" t="e">
        <f>AND(#REF!,"AAAAAA9/v40=")</f>
        <v>#REF!</v>
      </c>
      <c r="EM58" t="e">
        <f>AND(#REF!,"AAAAAA9/v44=")</f>
        <v>#REF!</v>
      </c>
      <c r="EN58" t="e">
        <f>AND(#REF!,"AAAAAA9/v48=")</f>
        <v>#REF!</v>
      </c>
      <c r="EO58" t="e">
        <f>AND(#REF!,"AAAAAA9/v5A=")</f>
        <v>#REF!</v>
      </c>
      <c r="EP58" t="e">
        <f>AND(#REF!,"AAAAAA9/v5E=")</f>
        <v>#REF!</v>
      </c>
      <c r="EQ58" t="e">
        <f>AND(#REF!,"AAAAAA9/v5I=")</f>
        <v>#REF!</v>
      </c>
      <c r="ER58" t="e">
        <f>AND(#REF!,"AAAAAA9/v5M=")</f>
        <v>#REF!</v>
      </c>
      <c r="ES58" t="e">
        <f>AND(#REF!,"AAAAAA9/v5Q=")</f>
        <v>#REF!</v>
      </c>
      <c r="ET58" t="e">
        <f>AND(#REF!,"AAAAAA9/v5U=")</f>
        <v>#REF!</v>
      </c>
      <c r="EU58" t="e">
        <f>AND(#REF!,"AAAAAA9/v5Y=")</f>
        <v>#REF!</v>
      </c>
      <c r="EV58" t="e">
        <f>AND(#REF!,"AAAAAA9/v5c=")</f>
        <v>#REF!</v>
      </c>
      <c r="EW58" t="e">
        <f>AND(#REF!,"AAAAAA9/v5g=")</f>
        <v>#REF!</v>
      </c>
      <c r="EX58" t="e">
        <f>AND(#REF!,"AAAAAA9/v5k=")</f>
        <v>#REF!</v>
      </c>
      <c r="EY58" t="e">
        <f>AND(#REF!,"AAAAAA9/v5o=")</f>
        <v>#REF!</v>
      </c>
      <c r="EZ58" t="e">
        <f>AND(#REF!,"AAAAAA9/v5s=")</f>
        <v>#REF!</v>
      </c>
      <c r="FA58" t="e">
        <f>AND(#REF!,"AAAAAA9/v5w=")</f>
        <v>#REF!</v>
      </c>
      <c r="FB58" t="e">
        <f>AND(#REF!,"AAAAAA9/v50=")</f>
        <v>#REF!</v>
      </c>
      <c r="FC58" t="e">
        <f>AND(#REF!,"AAAAAA9/v54=")</f>
        <v>#REF!</v>
      </c>
      <c r="FD58" t="e">
        <f>AND(#REF!,"AAAAAA9/v58=")</f>
        <v>#REF!</v>
      </c>
      <c r="FE58" t="e">
        <f>AND(#REF!,"AAAAAA9/v6A=")</f>
        <v>#REF!</v>
      </c>
      <c r="FF58" t="e">
        <f>AND(#REF!,"AAAAAA9/v6E=")</f>
        <v>#REF!</v>
      </c>
      <c r="FG58" t="e">
        <f>AND(#REF!,"AAAAAA9/v6I=")</f>
        <v>#REF!</v>
      </c>
      <c r="FH58" t="e">
        <f>AND(#REF!,"AAAAAA9/v6M=")</f>
        <v>#REF!</v>
      </c>
      <c r="FI58" t="e">
        <f>AND(#REF!,"AAAAAA9/v6Q=")</f>
        <v>#REF!</v>
      </c>
      <c r="FJ58" t="e">
        <f>AND(#REF!,"AAAAAA9/v6U=")</f>
        <v>#REF!</v>
      </c>
      <c r="FK58" t="e">
        <f>AND(#REF!,"AAAAAA9/v6Y=")</f>
        <v>#REF!</v>
      </c>
      <c r="FL58" t="e">
        <f>IF(#REF!,"AAAAAA9/v6c=",0)</f>
        <v>#REF!</v>
      </c>
      <c r="FM58" t="e">
        <f>AND(#REF!,"AAAAAA9/v6g=")</f>
        <v>#REF!</v>
      </c>
      <c r="FN58" t="e">
        <f>AND(#REF!,"AAAAAA9/v6k=")</f>
        <v>#REF!</v>
      </c>
      <c r="FO58" t="e">
        <f>AND(#REF!,"AAAAAA9/v6o=")</f>
        <v>#REF!</v>
      </c>
      <c r="FP58" t="e">
        <f>AND(#REF!,"AAAAAA9/v6s=")</f>
        <v>#REF!</v>
      </c>
      <c r="FQ58" t="e">
        <f>AND(#REF!,"AAAAAA9/v6w=")</f>
        <v>#REF!</v>
      </c>
      <c r="FR58" t="e">
        <f>AND(#REF!,"AAAAAA9/v60=")</f>
        <v>#REF!</v>
      </c>
      <c r="FS58" t="e">
        <f>AND(#REF!,"AAAAAA9/v64=")</f>
        <v>#REF!</v>
      </c>
      <c r="FT58" t="e">
        <f>AND(#REF!,"AAAAAA9/v68=")</f>
        <v>#REF!</v>
      </c>
      <c r="FU58" t="e">
        <f>AND(#REF!,"AAAAAA9/v7A=")</f>
        <v>#REF!</v>
      </c>
      <c r="FV58" t="e">
        <f>AND(#REF!,"AAAAAA9/v7E=")</f>
        <v>#REF!</v>
      </c>
      <c r="FW58" t="e">
        <f>AND(#REF!,"AAAAAA9/v7I=")</f>
        <v>#REF!</v>
      </c>
      <c r="FX58" t="e">
        <f>AND(#REF!,"AAAAAA9/v7M=")</f>
        <v>#REF!</v>
      </c>
      <c r="FY58" t="e">
        <f>AND(#REF!,"AAAAAA9/v7Q=")</f>
        <v>#REF!</v>
      </c>
      <c r="FZ58" t="e">
        <f>AND(#REF!,"AAAAAA9/v7U=")</f>
        <v>#REF!</v>
      </c>
      <c r="GA58" t="e">
        <f>AND(#REF!,"AAAAAA9/v7Y=")</f>
        <v>#REF!</v>
      </c>
      <c r="GB58" t="e">
        <f>AND(#REF!,"AAAAAA9/v7c=")</f>
        <v>#REF!</v>
      </c>
      <c r="GC58" t="e">
        <f>AND(#REF!,"AAAAAA9/v7g=")</f>
        <v>#REF!</v>
      </c>
      <c r="GD58" t="e">
        <f>AND(#REF!,"AAAAAA9/v7k=")</f>
        <v>#REF!</v>
      </c>
      <c r="GE58" t="e">
        <f>AND(#REF!,"AAAAAA9/v7o=")</f>
        <v>#REF!</v>
      </c>
      <c r="GF58" t="e">
        <f>AND(#REF!,"AAAAAA9/v7s=")</f>
        <v>#REF!</v>
      </c>
      <c r="GG58" t="e">
        <f>AND(#REF!,"AAAAAA9/v7w=")</f>
        <v>#REF!</v>
      </c>
      <c r="GH58" t="e">
        <f>AND(#REF!,"AAAAAA9/v70=")</f>
        <v>#REF!</v>
      </c>
      <c r="GI58" t="e">
        <f>AND(#REF!,"AAAAAA9/v74=")</f>
        <v>#REF!</v>
      </c>
      <c r="GJ58" t="e">
        <f>AND(#REF!,"AAAAAA9/v78=")</f>
        <v>#REF!</v>
      </c>
      <c r="GK58" t="e">
        <f>AND(#REF!,"AAAAAA9/v8A=")</f>
        <v>#REF!</v>
      </c>
      <c r="GL58" t="e">
        <f>AND(#REF!,"AAAAAA9/v8E=")</f>
        <v>#REF!</v>
      </c>
      <c r="GM58" t="e">
        <f>IF(#REF!,"AAAAAA9/v8I=",0)</f>
        <v>#REF!</v>
      </c>
      <c r="GN58" t="e">
        <f>AND(#REF!,"AAAAAA9/v8M=")</f>
        <v>#REF!</v>
      </c>
      <c r="GO58" t="e">
        <f>AND(#REF!,"AAAAAA9/v8Q=")</f>
        <v>#REF!</v>
      </c>
      <c r="GP58" t="e">
        <f>AND(#REF!,"AAAAAA9/v8U=")</f>
        <v>#REF!</v>
      </c>
      <c r="GQ58" t="e">
        <f>AND(#REF!,"AAAAAA9/v8Y=")</f>
        <v>#REF!</v>
      </c>
      <c r="GR58" t="e">
        <f>AND(#REF!,"AAAAAA9/v8c=")</f>
        <v>#REF!</v>
      </c>
      <c r="GS58" t="e">
        <f>AND(#REF!,"AAAAAA9/v8g=")</f>
        <v>#REF!</v>
      </c>
      <c r="GT58" t="e">
        <f>AND(#REF!,"AAAAAA9/v8k=")</f>
        <v>#REF!</v>
      </c>
      <c r="GU58" t="e">
        <f>AND(#REF!,"AAAAAA9/v8o=")</f>
        <v>#REF!</v>
      </c>
      <c r="GV58" t="e">
        <f>AND(#REF!,"AAAAAA9/v8s=")</f>
        <v>#REF!</v>
      </c>
      <c r="GW58" t="e">
        <f>AND(#REF!,"AAAAAA9/v8w=")</f>
        <v>#REF!</v>
      </c>
      <c r="GX58" t="e">
        <f>AND(#REF!,"AAAAAA9/v80=")</f>
        <v>#REF!</v>
      </c>
      <c r="GY58" t="e">
        <f>AND(#REF!,"AAAAAA9/v84=")</f>
        <v>#REF!</v>
      </c>
      <c r="GZ58" t="e">
        <f>AND(#REF!,"AAAAAA9/v88=")</f>
        <v>#REF!</v>
      </c>
      <c r="HA58" t="e">
        <f>AND(#REF!,"AAAAAA9/v9A=")</f>
        <v>#REF!</v>
      </c>
      <c r="HB58" t="e">
        <f>AND(#REF!,"AAAAAA9/v9E=")</f>
        <v>#REF!</v>
      </c>
      <c r="HC58" t="e">
        <f>AND(#REF!,"AAAAAA9/v9I=")</f>
        <v>#REF!</v>
      </c>
      <c r="HD58" t="e">
        <f>AND(#REF!,"AAAAAA9/v9M=")</f>
        <v>#REF!</v>
      </c>
      <c r="HE58" t="e">
        <f>AND(#REF!,"AAAAAA9/v9Q=")</f>
        <v>#REF!</v>
      </c>
      <c r="HF58" t="e">
        <f>AND(#REF!,"AAAAAA9/v9U=")</f>
        <v>#REF!</v>
      </c>
      <c r="HG58" t="e">
        <f>AND(#REF!,"AAAAAA9/v9Y=")</f>
        <v>#REF!</v>
      </c>
      <c r="HH58" t="e">
        <f>AND(#REF!,"AAAAAA9/v9c=")</f>
        <v>#REF!</v>
      </c>
      <c r="HI58" t="e">
        <f>AND(#REF!,"AAAAAA9/v9g=")</f>
        <v>#REF!</v>
      </c>
      <c r="HJ58" t="e">
        <f>AND(#REF!,"AAAAAA9/v9k=")</f>
        <v>#REF!</v>
      </c>
      <c r="HK58" t="e">
        <f>AND(#REF!,"AAAAAA9/v9o=")</f>
        <v>#REF!</v>
      </c>
      <c r="HL58" t="e">
        <f>AND(#REF!,"AAAAAA9/v9s=")</f>
        <v>#REF!</v>
      </c>
      <c r="HM58" t="e">
        <f>AND(#REF!,"AAAAAA9/v9w=")</f>
        <v>#REF!</v>
      </c>
      <c r="HN58" t="e">
        <f>IF(#REF!,"AAAAAA9/v90=",0)</f>
        <v>#REF!</v>
      </c>
      <c r="HO58" t="e">
        <f>AND(#REF!,"AAAAAA9/v94=")</f>
        <v>#REF!</v>
      </c>
      <c r="HP58" t="e">
        <f>AND(#REF!,"AAAAAA9/v98=")</f>
        <v>#REF!</v>
      </c>
      <c r="HQ58" t="e">
        <f>AND(#REF!,"AAAAAA9/v+A=")</f>
        <v>#REF!</v>
      </c>
      <c r="HR58" t="e">
        <f>AND(#REF!,"AAAAAA9/v+E=")</f>
        <v>#REF!</v>
      </c>
      <c r="HS58" t="e">
        <f>AND(#REF!,"AAAAAA9/v+I=")</f>
        <v>#REF!</v>
      </c>
      <c r="HT58" t="e">
        <f>AND(#REF!,"AAAAAA9/v+M=")</f>
        <v>#REF!</v>
      </c>
      <c r="HU58" t="e">
        <f>AND(#REF!,"AAAAAA9/v+Q=")</f>
        <v>#REF!</v>
      </c>
      <c r="HV58" t="e">
        <f>AND(#REF!,"AAAAAA9/v+U=")</f>
        <v>#REF!</v>
      </c>
      <c r="HW58" t="e">
        <f>AND(#REF!,"AAAAAA9/v+Y=")</f>
        <v>#REF!</v>
      </c>
      <c r="HX58" t="e">
        <f>AND(#REF!,"AAAAAA9/v+c=")</f>
        <v>#REF!</v>
      </c>
      <c r="HY58" t="e">
        <f>AND(#REF!,"AAAAAA9/v+g=")</f>
        <v>#REF!</v>
      </c>
      <c r="HZ58" t="e">
        <f>AND(#REF!,"AAAAAA9/v+k=")</f>
        <v>#REF!</v>
      </c>
      <c r="IA58" t="e">
        <f>AND(#REF!,"AAAAAA9/v+o=")</f>
        <v>#REF!</v>
      </c>
      <c r="IB58" t="e">
        <f>AND(#REF!,"AAAAAA9/v+s=")</f>
        <v>#REF!</v>
      </c>
      <c r="IC58" t="e">
        <f>AND(#REF!,"AAAAAA9/v+w=")</f>
        <v>#REF!</v>
      </c>
      <c r="ID58" t="e">
        <f>AND(#REF!,"AAAAAA9/v+0=")</f>
        <v>#REF!</v>
      </c>
      <c r="IE58" t="e">
        <f>AND(#REF!,"AAAAAA9/v+4=")</f>
        <v>#REF!</v>
      </c>
      <c r="IF58" t="e">
        <f>AND(#REF!,"AAAAAA9/v+8=")</f>
        <v>#REF!</v>
      </c>
      <c r="IG58" t="e">
        <f>AND(#REF!,"AAAAAA9/v/A=")</f>
        <v>#REF!</v>
      </c>
      <c r="IH58" t="e">
        <f>AND(#REF!,"AAAAAA9/v/E=")</f>
        <v>#REF!</v>
      </c>
      <c r="II58" t="e">
        <f>AND(#REF!,"AAAAAA9/v/I=")</f>
        <v>#REF!</v>
      </c>
      <c r="IJ58" t="e">
        <f>AND(#REF!,"AAAAAA9/v/M=")</f>
        <v>#REF!</v>
      </c>
      <c r="IK58" t="e">
        <f>AND(#REF!,"AAAAAA9/v/Q=")</f>
        <v>#REF!</v>
      </c>
      <c r="IL58" t="e">
        <f>AND(#REF!,"AAAAAA9/v/U=")</f>
        <v>#REF!</v>
      </c>
      <c r="IM58" t="e">
        <f>AND(#REF!,"AAAAAA9/v/Y=")</f>
        <v>#REF!</v>
      </c>
      <c r="IN58" t="e">
        <f>AND(#REF!,"AAAAAA9/v/c=")</f>
        <v>#REF!</v>
      </c>
      <c r="IO58" t="e">
        <f>IF(#REF!,"AAAAAA9/v/g=",0)</f>
        <v>#REF!</v>
      </c>
      <c r="IP58" t="e">
        <f>AND(#REF!,"AAAAAA9/v/k=")</f>
        <v>#REF!</v>
      </c>
      <c r="IQ58" t="e">
        <f>AND(#REF!,"AAAAAA9/v/o=")</f>
        <v>#REF!</v>
      </c>
      <c r="IR58" t="e">
        <f>AND(#REF!,"AAAAAA9/v/s=")</f>
        <v>#REF!</v>
      </c>
      <c r="IS58" t="e">
        <f>AND(#REF!,"AAAAAA9/v/w=")</f>
        <v>#REF!</v>
      </c>
      <c r="IT58" t="e">
        <f>AND(#REF!,"AAAAAA9/v/0=")</f>
        <v>#REF!</v>
      </c>
      <c r="IU58" t="e">
        <f>AND(#REF!,"AAAAAA9/v/4=")</f>
        <v>#REF!</v>
      </c>
      <c r="IV58" t="e">
        <f>AND(#REF!,"AAAAAA9/v/8=")</f>
        <v>#REF!</v>
      </c>
    </row>
    <row r="59" spans="1:256" x14ac:dyDescent="0.2">
      <c r="A59" t="e">
        <f>AND(#REF!,"AAAAAH+v+wA=")</f>
        <v>#REF!</v>
      </c>
      <c r="B59" t="e">
        <f>AND(#REF!,"AAAAAH+v+wE=")</f>
        <v>#REF!</v>
      </c>
      <c r="C59" t="e">
        <f>AND(#REF!,"AAAAAH+v+wI=")</f>
        <v>#REF!</v>
      </c>
      <c r="D59" t="e">
        <f>AND(#REF!,"AAAAAH+v+wM=")</f>
        <v>#REF!</v>
      </c>
      <c r="E59" t="e">
        <f>AND(#REF!,"AAAAAH+v+wQ=")</f>
        <v>#REF!</v>
      </c>
      <c r="F59" t="e">
        <f>AND(#REF!,"AAAAAH+v+wU=")</f>
        <v>#REF!</v>
      </c>
      <c r="G59" t="e">
        <f>AND(#REF!,"AAAAAH+v+wY=")</f>
        <v>#REF!</v>
      </c>
      <c r="H59" t="e">
        <f>AND(#REF!,"AAAAAH+v+wc=")</f>
        <v>#REF!</v>
      </c>
      <c r="I59" t="e">
        <f>AND(#REF!,"AAAAAH+v+wg=")</f>
        <v>#REF!</v>
      </c>
      <c r="J59" t="e">
        <f>AND(#REF!,"AAAAAH+v+wk=")</f>
        <v>#REF!</v>
      </c>
      <c r="K59" t="e">
        <f>AND(#REF!,"AAAAAH+v+wo=")</f>
        <v>#REF!</v>
      </c>
      <c r="L59" t="e">
        <f>AND(#REF!,"AAAAAH+v+ws=")</f>
        <v>#REF!</v>
      </c>
      <c r="M59" t="e">
        <f>AND(#REF!,"AAAAAH+v+ww=")</f>
        <v>#REF!</v>
      </c>
      <c r="N59" t="e">
        <f>AND(#REF!,"AAAAAH+v+w0=")</f>
        <v>#REF!</v>
      </c>
      <c r="O59" t="e">
        <f>AND(#REF!,"AAAAAH+v+w4=")</f>
        <v>#REF!</v>
      </c>
      <c r="P59" t="e">
        <f>AND(#REF!,"AAAAAH+v+w8=")</f>
        <v>#REF!</v>
      </c>
      <c r="Q59" t="e">
        <f>AND(#REF!,"AAAAAH+v+xA=")</f>
        <v>#REF!</v>
      </c>
      <c r="R59" t="e">
        <f>AND(#REF!,"AAAAAH+v+xE=")</f>
        <v>#REF!</v>
      </c>
      <c r="S59" t="e">
        <f>AND(#REF!,"AAAAAH+v+xI=")</f>
        <v>#REF!</v>
      </c>
      <c r="T59" t="e">
        <f>IF(#REF!,"AAAAAH+v+xM=",0)</f>
        <v>#REF!</v>
      </c>
      <c r="U59" t="e">
        <f>AND(#REF!,"AAAAAH+v+xQ=")</f>
        <v>#REF!</v>
      </c>
      <c r="V59" t="e">
        <f>AND(#REF!,"AAAAAH+v+xU=")</f>
        <v>#REF!</v>
      </c>
      <c r="W59" t="e">
        <f>AND(#REF!,"AAAAAH+v+xY=")</f>
        <v>#REF!</v>
      </c>
      <c r="X59" t="e">
        <f>AND(#REF!,"AAAAAH+v+xc=")</f>
        <v>#REF!</v>
      </c>
      <c r="Y59" t="e">
        <f>AND(#REF!,"AAAAAH+v+xg=")</f>
        <v>#REF!</v>
      </c>
      <c r="Z59" t="e">
        <f>AND(#REF!,"AAAAAH+v+xk=")</f>
        <v>#REF!</v>
      </c>
      <c r="AA59" t="e">
        <f>AND(#REF!,"AAAAAH+v+xo=")</f>
        <v>#REF!</v>
      </c>
      <c r="AB59" t="e">
        <f>AND(#REF!,"AAAAAH+v+xs=")</f>
        <v>#REF!</v>
      </c>
      <c r="AC59" t="e">
        <f>AND(#REF!,"AAAAAH+v+xw=")</f>
        <v>#REF!</v>
      </c>
      <c r="AD59" t="e">
        <f>AND(#REF!,"AAAAAH+v+x0=")</f>
        <v>#REF!</v>
      </c>
      <c r="AE59" t="e">
        <f>AND(#REF!,"AAAAAH+v+x4=")</f>
        <v>#REF!</v>
      </c>
      <c r="AF59" t="e">
        <f>AND(#REF!,"AAAAAH+v+x8=")</f>
        <v>#REF!</v>
      </c>
      <c r="AG59" t="e">
        <f>AND(#REF!,"AAAAAH+v+yA=")</f>
        <v>#REF!</v>
      </c>
      <c r="AH59" t="e">
        <f>AND(#REF!,"AAAAAH+v+yE=")</f>
        <v>#REF!</v>
      </c>
      <c r="AI59" t="e">
        <f>AND(#REF!,"AAAAAH+v+yI=")</f>
        <v>#REF!</v>
      </c>
      <c r="AJ59" t="e">
        <f>AND(#REF!,"AAAAAH+v+yM=")</f>
        <v>#REF!</v>
      </c>
      <c r="AK59" t="e">
        <f>AND(#REF!,"AAAAAH+v+yQ=")</f>
        <v>#REF!</v>
      </c>
      <c r="AL59" t="e">
        <f>AND(#REF!,"AAAAAH+v+yU=")</f>
        <v>#REF!</v>
      </c>
      <c r="AM59" t="e">
        <f>AND(#REF!,"AAAAAH+v+yY=")</f>
        <v>#REF!</v>
      </c>
      <c r="AN59" t="e">
        <f>AND(#REF!,"AAAAAH+v+yc=")</f>
        <v>#REF!</v>
      </c>
      <c r="AO59" t="e">
        <f>AND(#REF!,"AAAAAH+v+yg=")</f>
        <v>#REF!</v>
      </c>
      <c r="AP59" t="e">
        <f>AND(#REF!,"AAAAAH+v+yk=")</f>
        <v>#REF!</v>
      </c>
      <c r="AQ59" t="e">
        <f>AND(#REF!,"AAAAAH+v+yo=")</f>
        <v>#REF!</v>
      </c>
      <c r="AR59" t="e">
        <f>AND(#REF!,"AAAAAH+v+ys=")</f>
        <v>#REF!</v>
      </c>
      <c r="AS59" t="e">
        <f>AND(#REF!,"AAAAAH+v+yw=")</f>
        <v>#REF!</v>
      </c>
      <c r="AT59" t="e">
        <f>AND(#REF!,"AAAAAH+v+y0=")</f>
        <v>#REF!</v>
      </c>
      <c r="AU59" t="e">
        <f>IF(#REF!,"AAAAAH+v+y4=",0)</f>
        <v>#REF!</v>
      </c>
      <c r="AV59" t="e">
        <f>AND(#REF!,"AAAAAH+v+y8=")</f>
        <v>#REF!</v>
      </c>
      <c r="AW59" t="e">
        <f>AND(#REF!,"AAAAAH+v+zA=")</f>
        <v>#REF!</v>
      </c>
      <c r="AX59" t="e">
        <f>AND(#REF!,"AAAAAH+v+zE=")</f>
        <v>#REF!</v>
      </c>
      <c r="AY59" t="e">
        <f>AND(#REF!,"AAAAAH+v+zI=")</f>
        <v>#REF!</v>
      </c>
      <c r="AZ59" t="e">
        <f>AND(#REF!,"AAAAAH+v+zM=")</f>
        <v>#REF!</v>
      </c>
      <c r="BA59" t="e">
        <f>AND(#REF!,"AAAAAH+v+zQ=")</f>
        <v>#REF!</v>
      </c>
      <c r="BB59" t="e">
        <f>AND(#REF!,"AAAAAH+v+zU=")</f>
        <v>#REF!</v>
      </c>
      <c r="BC59" t="e">
        <f>AND(#REF!,"AAAAAH+v+zY=")</f>
        <v>#REF!</v>
      </c>
      <c r="BD59" t="e">
        <f>AND(#REF!,"AAAAAH+v+zc=")</f>
        <v>#REF!</v>
      </c>
      <c r="BE59" t="e">
        <f>AND(#REF!,"AAAAAH+v+zg=")</f>
        <v>#REF!</v>
      </c>
      <c r="BF59" t="e">
        <f>AND(#REF!,"AAAAAH+v+zk=")</f>
        <v>#REF!</v>
      </c>
      <c r="BG59" t="e">
        <f>AND(#REF!,"AAAAAH+v+zo=")</f>
        <v>#REF!</v>
      </c>
      <c r="BH59" t="e">
        <f>AND(#REF!,"AAAAAH+v+zs=")</f>
        <v>#REF!</v>
      </c>
      <c r="BI59" t="e">
        <f>AND(#REF!,"AAAAAH+v+zw=")</f>
        <v>#REF!</v>
      </c>
      <c r="BJ59" t="e">
        <f>AND(#REF!,"AAAAAH+v+z0=")</f>
        <v>#REF!</v>
      </c>
      <c r="BK59" t="e">
        <f>AND(#REF!,"AAAAAH+v+z4=")</f>
        <v>#REF!</v>
      </c>
      <c r="BL59" t="e">
        <f>AND(#REF!,"AAAAAH+v+z8=")</f>
        <v>#REF!</v>
      </c>
      <c r="BM59" t="e">
        <f>AND(#REF!,"AAAAAH+v+0A=")</f>
        <v>#REF!</v>
      </c>
      <c r="BN59" t="e">
        <f>AND(#REF!,"AAAAAH+v+0E=")</f>
        <v>#REF!</v>
      </c>
      <c r="BO59" t="e">
        <f>AND(#REF!,"AAAAAH+v+0I=")</f>
        <v>#REF!</v>
      </c>
      <c r="BP59" t="e">
        <f>AND(#REF!,"AAAAAH+v+0M=")</f>
        <v>#REF!</v>
      </c>
      <c r="BQ59" t="e">
        <f>AND(#REF!,"AAAAAH+v+0Q=")</f>
        <v>#REF!</v>
      </c>
      <c r="BR59" t="e">
        <f>AND(#REF!,"AAAAAH+v+0U=")</f>
        <v>#REF!</v>
      </c>
      <c r="BS59" t="e">
        <f>AND(#REF!,"AAAAAH+v+0Y=")</f>
        <v>#REF!</v>
      </c>
      <c r="BT59" t="e">
        <f>AND(#REF!,"AAAAAH+v+0c=")</f>
        <v>#REF!</v>
      </c>
      <c r="BU59" t="e">
        <f>AND(#REF!,"AAAAAH+v+0g=")</f>
        <v>#REF!</v>
      </c>
      <c r="BV59" t="e">
        <f>IF(#REF!,"AAAAAH+v+0k=",0)</f>
        <v>#REF!</v>
      </c>
      <c r="BW59" t="e">
        <f>AND(#REF!,"AAAAAH+v+0o=")</f>
        <v>#REF!</v>
      </c>
      <c r="BX59" t="e">
        <f>AND(#REF!,"AAAAAH+v+0s=")</f>
        <v>#REF!</v>
      </c>
      <c r="BY59" t="e">
        <f>AND(#REF!,"AAAAAH+v+0w=")</f>
        <v>#REF!</v>
      </c>
      <c r="BZ59" t="e">
        <f>AND(#REF!,"AAAAAH+v+00=")</f>
        <v>#REF!</v>
      </c>
      <c r="CA59" t="e">
        <f>AND(#REF!,"AAAAAH+v+04=")</f>
        <v>#REF!</v>
      </c>
      <c r="CB59" t="e">
        <f>AND(#REF!,"AAAAAH+v+08=")</f>
        <v>#REF!</v>
      </c>
      <c r="CC59" t="e">
        <f>AND(#REF!,"AAAAAH+v+1A=")</f>
        <v>#REF!</v>
      </c>
      <c r="CD59" t="e">
        <f>AND(#REF!,"AAAAAH+v+1E=")</f>
        <v>#REF!</v>
      </c>
      <c r="CE59" t="e">
        <f>AND(#REF!,"AAAAAH+v+1I=")</f>
        <v>#REF!</v>
      </c>
      <c r="CF59" t="e">
        <f>AND(#REF!,"AAAAAH+v+1M=")</f>
        <v>#REF!</v>
      </c>
      <c r="CG59" t="e">
        <f>AND(#REF!,"AAAAAH+v+1Q=")</f>
        <v>#REF!</v>
      </c>
      <c r="CH59" t="e">
        <f>AND(#REF!,"AAAAAH+v+1U=")</f>
        <v>#REF!</v>
      </c>
      <c r="CI59" t="e">
        <f>AND(#REF!,"AAAAAH+v+1Y=")</f>
        <v>#REF!</v>
      </c>
      <c r="CJ59" t="e">
        <f>AND(#REF!,"AAAAAH+v+1c=")</f>
        <v>#REF!</v>
      </c>
      <c r="CK59" t="e">
        <f>AND(#REF!,"AAAAAH+v+1g=")</f>
        <v>#REF!</v>
      </c>
      <c r="CL59" t="e">
        <f>AND(#REF!,"AAAAAH+v+1k=")</f>
        <v>#REF!</v>
      </c>
      <c r="CM59" t="e">
        <f>AND(#REF!,"AAAAAH+v+1o=")</f>
        <v>#REF!</v>
      </c>
      <c r="CN59" t="e">
        <f>AND(#REF!,"AAAAAH+v+1s=")</f>
        <v>#REF!</v>
      </c>
      <c r="CO59" t="e">
        <f>AND(#REF!,"AAAAAH+v+1w=")</f>
        <v>#REF!</v>
      </c>
      <c r="CP59" t="e">
        <f>AND(#REF!,"AAAAAH+v+10=")</f>
        <v>#REF!</v>
      </c>
      <c r="CQ59" t="e">
        <f>AND(#REF!,"AAAAAH+v+14=")</f>
        <v>#REF!</v>
      </c>
      <c r="CR59" t="e">
        <f>AND(#REF!,"AAAAAH+v+18=")</f>
        <v>#REF!</v>
      </c>
      <c r="CS59" t="e">
        <f>AND(#REF!,"AAAAAH+v+2A=")</f>
        <v>#REF!</v>
      </c>
      <c r="CT59" t="e">
        <f>AND(#REF!,"AAAAAH+v+2E=")</f>
        <v>#REF!</v>
      </c>
      <c r="CU59" t="e">
        <f>AND(#REF!,"AAAAAH+v+2I=")</f>
        <v>#REF!</v>
      </c>
      <c r="CV59" t="e">
        <f>AND(#REF!,"AAAAAH+v+2M=")</f>
        <v>#REF!</v>
      </c>
      <c r="CW59" t="e">
        <f>IF(#REF!,"AAAAAH+v+2Q=",0)</f>
        <v>#REF!</v>
      </c>
      <c r="CX59" t="e">
        <f>AND(#REF!,"AAAAAH+v+2U=")</f>
        <v>#REF!</v>
      </c>
      <c r="CY59" t="e">
        <f>AND(#REF!,"AAAAAH+v+2Y=")</f>
        <v>#REF!</v>
      </c>
      <c r="CZ59" t="e">
        <f>AND(#REF!,"AAAAAH+v+2c=")</f>
        <v>#REF!</v>
      </c>
      <c r="DA59" t="e">
        <f>AND(#REF!,"AAAAAH+v+2g=")</f>
        <v>#REF!</v>
      </c>
      <c r="DB59" t="e">
        <f>AND(#REF!,"AAAAAH+v+2k=")</f>
        <v>#REF!</v>
      </c>
      <c r="DC59" t="e">
        <f>AND(#REF!,"AAAAAH+v+2o=")</f>
        <v>#REF!</v>
      </c>
      <c r="DD59" t="e">
        <f>AND(#REF!,"AAAAAH+v+2s=")</f>
        <v>#REF!</v>
      </c>
      <c r="DE59" t="e">
        <f>AND(#REF!,"AAAAAH+v+2w=")</f>
        <v>#REF!</v>
      </c>
      <c r="DF59" t="e">
        <f>AND(#REF!,"AAAAAH+v+20=")</f>
        <v>#REF!</v>
      </c>
      <c r="DG59" t="e">
        <f>AND(#REF!,"AAAAAH+v+24=")</f>
        <v>#REF!</v>
      </c>
      <c r="DH59" t="e">
        <f>AND(#REF!,"AAAAAH+v+28=")</f>
        <v>#REF!</v>
      </c>
      <c r="DI59" t="e">
        <f>AND(#REF!,"AAAAAH+v+3A=")</f>
        <v>#REF!</v>
      </c>
      <c r="DJ59" t="e">
        <f>AND(#REF!,"AAAAAH+v+3E=")</f>
        <v>#REF!</v>
      </c>
      <c r="DK59" t="e">
        <f>AND(#REF!,"AAAAAH+v+3I=")</f>
        <v>#REF!</v>
      </c>
      <c r="DL59" t="e">
        <f>AND(#REF!,"AAAAAH+v+3M=")</f>
        <v>#REF!</v>
      </c>
      <c r="DM59" t="e">
        <f>AND(#REF!,"AAAAAH+v+3Q=")</f>
        <v>#REF!</v>
      </c>
      <c r="DN59" t="e">
        <f>AND(#REF!,"AAAAAH+v+3U=")</f>
        <v>#REF!</v>
      </c>
      <c r="DO59" t="e">
        <f>AND(#REF!,"AAAAAH+v+3Y=")</f>
        <v>#REF!</v>
      </c>
      <c r="DP59" t="e">
        <f>AND(#REF!,"AAAAAH+v+3c=")</f>
        <v>#REF!</v>
      </c>
      <c r="DQ59" t="e">
        <f>AND(#REF!,"AAAAAH+v+3g=")</f>
        <v>#REF!</v>
      </c>
      <c r="DR59" t="e">
        <f>AND(#REF!,"AAAAAH+v+3k=")</f>
        <v>#REF!</v>
      </c>
      <c r="DS59" t="e">
        <f>AND(#REF!,"AAAAAH+v+3o=")</f>
        <v>#REF!</v>
      </c>
      <c r="DT59" t="e">
        <f>AND(#REF!,"AAAAAH+v+3s=")</f>
        <v>#REF!</v>
      </c>
      <c r="DU59" t="e">
        <f>AND(#REF!,"AAAAAH+v+3w=")</f>
        <v>#REF!</v>
      </c>
      <c r="DV59" t="e">
        <f>AND(#REF!,"AAAAAH+v+30=")</f>
        <v>#REF!</v>
      </c>
      <c r="DW59" t="e">
        <f>AND(#REF!,"AAAAAH+v+34=")</f>
        <v>#REF!</v>
      </c>
      <c r="DX59" t="e">
        <f>IF(#REF!,"AAAAAH+v+38=",0)</f>
        <v>#REF!</v>
      </c>
      <c r="DY59" t="e">
        <f>AND(#REF!,"AAAAAH+v+4A=")</f>
        <v>#REF!</v>
      </c>
      <c r="DZ59" t="e">
        <f>AND(#REF!,"AAAAAH+v+4E=")</f>
        <v>#REF!</v>
      </c>
      <c r="EA59" t="e">
        <f>AND(#REF!,"AAAAAH+v+4I=")</f>
        <v>#REF!</v>
      </c>
      <c r="EB59" t="e">
        <f>AND(#REF!,"AAAAAH+v+4M=")</f>
        <v>#REF!</v>
      </c>
      <c r="EC59" t="e">
        <f>AND(#REF!,"AAAAAH+v+4Q=")</f>
        <v>#REF!</v>
      </c>
      <c r="ED59" t="e">
        <f>AND(#REF!,"AAAAAH+v+4U=")</f>
        <v>#REF!</v>
      </c>
      <c r="EE59" t="e">
        <f>AND(#REF!,"AAAAAH+v+4Y=")</f>
        <v>#REF!</v>
      </c>
      <c r="EF59" t="e">
        <f>AND(#REF!,"AAAAAH+v+4c=")</f>
        <v>#REF!</v>
      </c>
      <c r="EG59" t="e">
        <f>AND(#REF!,"AAAAAH+v+4g=")</f>
        <v>#REF!</v>
      </c>
      <c r="EH59" t="e">
        <f>AND(#REF!,"AAAAAH+v+4k=")</f>
        <v>#REF!</v>
      </c>
      <c r="EI59" t="e">
        <f>AND(#REF!,"AAAAAH+v+4o=")</f>
        <v>#REF!</v>
      </c>
      <c r="EJ59" t="e">
        <f>AND(#REF!,"AAAAAH+v+4s=")</f>
        <v>#REF!</v>
      </c>
      <c r="EK59" t="e">
        <f>AND(#REF!,"AAAAAH+v+4w=")</f>
        <v>#REF!</v>
      </c>
      <c r="EL59" t="e">
        <f>AND(#REF!,"AAAAAH+v+40=")</f>
        <v>#REF!</v>
      </c>
      <c r="EM59" t="e">
        <f>AND(#REF!,"AAAAAH+v+44=")</f>
        <v>#REF!</v>
      </c>
      <c r="EN59" t="e">
        <f>AND(#REF!,"AAAAAH+v+48=")</f>
        <v>#REF!</v>
      </c>
      <c r="EO59" t="e">
        <f>AND(#REF!,"AAAAAH+v+5A=")</f>
        <v>#REF!</v>
      </c>
      <c r="EP59" t="e">
        <f>AND(#REF!,"AAAAAH+v+5E=")</f>
        <v>#REF!</v>
      </c>
      <c r="EQ59" t="e">
        <f>AND(#REF!,"AAAAAH+v+5I=")</f>
        <v>#REF!</v>
      </c>
      <c r="ER59" t="e">
        <f>AND(#REF!,"AAAAAH+v+5M=")</f>
        <v>#REF!</v>
      </c>
      <c r="ES59" t="e">
        <f>AND(#REF!,"AAAAAH+v+5Q=")</f>
        <v>#REF!</v>
      </c>
      <c r="ET59" t="e">
        <f>AND(#REF!,"AAAAAH+v+5U=")</f>
        <v>#REF!</v>
      </c>
      <c r="EU59" t="e">
        <f>AND(#REF!,"AAAAAH+v+5Y=")</f>
        <v>#REF!</v>
      </c>
      <c r="EV59" t="e">
        <f>AND(#REF!,"AAAAAH+v+5c=")</f>
        <v>#REF!</v>
      </c>
      <c r="EW59" t="e">
        <f>AND(#REF!,"AAAAAH+v+5g=")</f>
        <v>#REF!</v>
      </c>
      <c r="EX59" t="e">
        <f>AND(#REF!,"AAAAAH+v+5k=")</f>
        <v>#REF!</v>
      </c>
      <c r="EY59" t="e">
        <f>IF(#REF!,"AAAAAH+v+5o=",0)</f>
        <v>#REF!</v>
      </c>
      <c r="EZ59" t="e">
        <f>AND(#REF!,"AAAAAH+v+5s=")</f>
        <v>#REF!</v>
      </c>
      <c r="FA59" t="e">
        <f>AND(#REF!,"AAAAAH+v+5w=")</f>
        <v>#REF!</v>
      </c>
      <c r="FB59" t="e">
        <f>AND(#REF!,"AAAAAH+v+50=")</f>
        <v>#REF!</v>
      </c>
      <c r="FC59" t="e">
        <f>AND(#REF!,"AAAAAH+v+54=")</f>
        <v>#REF!</v>
      </c>
      <c r="FD59" t="e">
        <f>AND(#REF!,"AAAAAH+v+58=")</f>
        <v>#REF!</v>
      </c>
      <c r="FE59" t="e">
        <f>AND(#REF!,"AAAAAH+v+6A=")</f>
        <v>#REF!</v>
      </c>
      <c r="FF59" t="e">
        <f>AND(#REF!,"AAAAAH+v+6E=")</f>
        <v>#REF!</v>
      </c>
      <c r="FG59" t="e">
        <f>AND(#REF!,"AAAAAH+v+6I=")</f>
        <v>#REF!</v>
      </c>
      <c r="FH59" t="e">
        <f>AND(#REF!,"AAAAAH+v+6M=")</f>
        <v>#REF!</v>
      </c>
      <c r="FI59" t="e">
        <f>AND(#REF!,"AAAAAH+v+6Q=")</f>
        <v>#REF!</v>
      </c>
      <c r="FJ59" t="e">
        <f>AND(#REF!,"AAAAAH+v+6U=")</f>
        <v>#REF!</v>
      </c>
      <c r="FK59" t="e">
        <f>AND(#REF!,"AAAAAH+v+6Y=")</f>
        <v>#REF!</v>
      </c>
      <c r="FL59" t="e">
        <f>AND(#REF!,"AAAAAH+v+6c=")</f>
        <v>#REF!</v>
      </c>
      <c r="FM59" t="e">
        <f>AND(#REF!,"AAAAAH+v+6g=")</f>
        <v>#REF!</v>
      </c>
      <c r="FN59" t="e">
        <f>AND(#REF!,"AAAAAH+v+6k=")</f>
        <v>#REF!</v>
      </c>
      <c r="FO59" t="e">
        <f>AND(#REF!,"AAAAAH+v+6o=")</f>
        <v>#REF!</v>
      </c>
      <c r="FP59" t="e">
        <f>AND(#REF!,"AAAAAH+v+6s=")</f>
        <v>#REF!</v>
      </c>
      <c r="FQ59" t="e">
        <f>AND(#REF!,"AAAAAH+v+6w=")</f>
        <v>#REF!</v>
      </c>
      <c r="FR59" t="e">
        <f>AND(#REF!,"AAAAAH+v+60=")</f>
        <v>#REF!</v>
      </c>
      <c r="FS59" t="e">
        <f>AND(#REF!,"AAAAAH+v+64=")</f>
        <v>#REF!</v>
      </c>
      <c r="FT59" t="e">
        <f>AND(#REF!,"AAAAAH+v+68=")</f>
        <v>#REF!</v>
      </c>
      <c r="FU59" t="e">
        <f>AND(#REF!,"AAAAAH+v+7A=")</f>
        <v>#REF!</v>
      </c>
      <c r="FV59" t="e">
        <f>AND(#REF!,"AAAAAH+v+7E=")</f>
        <v>#REF!</v>
      </c>
      <c r="FW59" t="e">
        <f>AND(#REF!,"AAAAAH+v+7I=")</f>
        <v>#REF!</v>
      </c>
      <c r="FX59" t="e">
        <f>AND(#REF!,"AAAAAH+v+7M=")</f>
        <v>#REF!</v>
      </c>
      <c r="FY59" t="e">
        <f>AND(#REF!,"AAAAAH+v+7Q=")</f>
        <v>#REF!</v>
      </c>
      <c r="FZ59" t="e">
        <f>IF(#REF!,"AAAAAH+v+7U=",0)</f>
        <v>#REF!</v>
      </c>
      <c r="GA59" t="e">
        <f>AND(#REF!,"AAAAAH+v+7Y=")</f>
        <v>#REF!</v>
      </c>
      <c r="GB59" t="e">
        <f>AND(#REF!,"AAAAAH+v+7c=")</f>
        <v>#REF!</v>
      </c>
      <c r="GC59" t="e">
        <f>AND(#REF!,"AAAAAH+v+7g=")</f>
        <v>#REF!</v>
      </c>
      <c r="GD59" t="e">
        <f>AND(#REF!,"AAAAAH+v+7k=")</f>
        <v>#REF!</v>
      </c>
      <c r="GE59" t="e">
        <f>AND(#REF!,"AAAAAH+v+7o=")</f>
        <v>#REF!</v>
      </c>
      <c r="GF59" t="e">
        <f>AND(#REF!,"AAAAAH+v+7s=")</f>
        <v>#REF!</v>
      </c>
      <c r="GG59" t="e">
        <f>AND(#REF!,"AAAAAH+v+7w=")</f>
        <v>#REF!</v>
      </c>
      <c r="GH59" t="e">
        <f>AND(#REF!,"AAAAAH+v+70=")</f>
        <v>#REF!</v>
      </c>
      <c r="GI59" t="e">
        <f>AND(#REF!,"AAAAAH+v+74=")</f>
        <v>#REF!</v>
      </c>
      <c r="GJ59" t="e">
        <f>AND(#REF!,"AAAAAH+v+78=")</f>
        <v>#REF!</v>
      </c>
      <c r="GK59" t="e">
        <f>AND(#REF!,"AAAAAH+v+8A=")</f>
        <v>#REF!</v>
      </c>
      <c r="GL59" t="e">
        <f>AND(#REF!,"AAAAAH+v+8E=")</f>
        <v>#REF!</v>
      </c>
      <c r="GM59" t="e">
        <f>AND(#REF!,"AAAAAH+v+8I=")</f>
        <v>#REF!</v>
      </c>
      <c r="GN59" t="e">
        <f>AND(#REF!,"AAAAAH+v+8M=")</f>
        <v>#REF!</v>
      </c>
      <c r="GO59" t="e">
        <f>AND(#REF!,"AAAAAH+v+8Q=")</f>
        <v>#REF!</v>
      </c>
      <c r="GP59" t="e">
        <f>AND(#REF!,"AAAAAH+v+8U=")</f>
        <v>#REF!</v>
      </c>
      <c r="GQ59" t="e">
        <f>AND(#REF!,"AAAAAH+v+8Y=")</f>
        <v>#REF!</v>
      </c>
      <c r="GR59" t="e">
        <f>AND(#REF!,"AAAAAH+v+8c=")</f>
        <v>#REF!</v>
      </c>
      <c r="GS59" t="e">
        <f>AND(#REF!,"AAAAAH+v+8g=")</f>
        <v>#REF!</v>
      </c>
      <c r="GT59" t="e">
        <f>AND(#REF!,"AAAAAH+v+8k=")</f>
        <v>#REF!</v>
      </c>
      <c r="GU59" t="e">
        <f>AND(#REF!,"AAAAAH+v+8o=")</f>
        <v>#REF!</v>
      </c>
      <c r="GV59" t="e">
        <f>AND(#REF!,"AAAAAH+v+8s=")</f>
        <v>#REF!</v>
      </c>
      <c r="GW59" t="e">
        <f>AND(#REF!,"AAAAAH+v+8w=")</f>
        <v>#REF!</v>
      </c>
      <c r="GX59" t="e">
        <f>AND(#REF!,"AAAAAH+v+80=")</f>
        <v>#REF!</v>
      </c>
      <c r="GY59" t="e">
        <f>AND(#REF!,"AAAAAH+v+84=")</f>
        <v>#REF!</v>
      </c>
      <c r="GZ59" t="e">
        <f>AND(#REF!,"AAAAAH+v+88=")</f>
        <v>#REF!</v>
      </c>
      <c r="HA59" t="e">
        <f>IF(#REF!,"AAAAAH+v+9A=",0)</f>
        <v>#REF!</v>
      </c>
      <c r="HB59" t="e">
        <f>AND(#REF!,"AAAAAH+v+9E=")</f>
        <v>#REF!</v>
      </c>
      <c r="HC59" t="e">
        <f>AND(#REF!,"AAAAAH+v+9I=")</f>
        <v>#REF!</v>
      </c>
      <c r="HD59" t="e">
        <f>AND(#REF!,"AAAAAH+v+9M=")</f>
        <v>#REF!</v>
      </c>
      <c r="HE59" t="e">
        <f>AND(#REF!,"AAAAAH+v+9Q=")</f>
        <v>#REF!</v>
      </c>
      <c r="HF59" t="e">
        <f>AND(#REF!,"AAAAAH+v+9U=")</f>
        <v>#REF!</v>
      </c>
      <c r="HG59" t="e">
        <f>AND(#REF!,"AAAAAH+v+9Y=")</f>
        <v>#REF!</v>
      </c>
      <c r="HH59" t="e">
        <f>AND(#REF!,"AAAAAH+v+9c=")</f>
        <v>#REF!</v>
      </c>
      <c r="HI59" t="e">
        <f>AND(#REF!,"AAAAAH+v+9g=")</f>
        <v>#REF!</v>
      </c>
      <c r="HJ59" t="e">
        <f>AND(#REF!,"AAAAAH+v+9k=")</f>
        <v>#REF!</v>
      </c>
      <c r="HK59" t="e">
        <f>AND(#REF!,"AAAAAH+v+9o=")</f>
        <v>#REF!</v>
      </c>
      <c r="HL59" t="e">
        <f>AND(#REF!,"AAAAAH+v+9s=")</f>
        <v>#REF!</v>
      </c>
      <c r="HM59" t="e">
        <f>AND(#REF!,"AAAAAH+v+9w=")</f>
        <v>#REF!</v>
      </c>
      <c r="HN59" t="e">
        <f>AND(#REF!,"AAAAAH+v+90=")</f>
        <v>#REF!</v>
      </c>
      <c r="HO59" t="e">
        <f>AND(#REF!,"AAAAAH+v+94=")</f>
        <v>#REF!</v>
      </c>
      <c r="HP59" t="e">
        <f>AND(#REF!,"AAAAAH+v+98=")</f>
        <v>#REF!</v>
      </c>
      <c r="HQ59" t="e">
        <f>AND(#REF!,"AAAAAH+v++A=")</f>
        <v>#REF!</v>
      </c>
      <c r="HR59" t="e">
        <f>AND(#REF!,"AAAAAH+v++E=")</f>
        <v>#REF!</v>
      </c>
      <c r="HS59" t="e">
        <f>AND(#REF!,"AAAAAH+v++I=")</f>
        <v>#REF!</v>
      </c>
      <c r="HT59" t="e">
        <f>AND(#REF!,"AAAAAH+v++M=")</f>
        <v>#REF!</v>
      </c>
      <c r="HU59" t="e">
        <f>AND(#REF!,"AAAAAH+v++Q=")</f>
        <v>#REF!</v>
      </c>
      <c r="HV59" t="e">
        <f>AND(#REF!,"AAAAAH+v++U=")</f>
        <v>#REF!</v>
      </c>
      <c r="HW59" t="e">
        <f>AND(#REF!,"AAAAAH+v++Y=")</f>
        <v>#REF!</v>
      </c>
      <c r="HX59" t="e">
        <f>AND(#REF!,"AAAAAH+v++c=")</f>
        <v>#REF!</v>
      </c>
      <c r="HY59" t="e">
        <f>AND(#REF!,"AAAAAH+v++g=")</f>
        <v>#REF!</v>
      </c>
      <c r="HZ59" t="e">
        <f>AND(#REF!,"AAAAAH+v++k=")</f>
        <v>#REF!</v>
      </c>
      <c r="IA59" t="e">
        <f>AND(#REF!,"AAAAAH+v++o=")</f>
        <v>#REF!</v>
      </c>
      <c r="IB59" t="e">
        <f>IF(#REF!,"AAAAAH+v++s=",0)</f>
        <v>#REF!</v>
      </c>
      <c r="IC59" t="e">
        <f>AND(#REF!,"AAAAAH+v++w=")</f>
        <v>#REF!</v>
      </c>
      <c r="ID59" t="e">
        <f>AND(#REF!,"AAAAAH+v++0=")</f>
        <v>#REF!</v>
      </c>
      <c r="IE59" t="e">
        <f>AND(#REF!,"AAAAAH+v++4=")</f>
        <v>#REF!</v>
      </c>
      <c r="IF59" t="e">
        <f>AND(#REF!,"AAAAAH+v++8=")</f>
        <v>#REF!</v>
      </c>
      <c r="IG59" t="e">
        <f>AND(#REF!,"AAAAAH+v+/A=")</f>
        <v>#REF!</v>
      </c>
      <c r="IH59" t="e">
        <f>AND(#REF!,"AAAAAH+v+/E=")</f>
        <v>#REF!</v>
      </c>
      <c r="II59" t="e">
        <f>AND(#REF!,"AAAAAH+v+/I=")</f>
        <v>#REF!</v>
      </c>
      <c r="IJ59" t="e">
        <f>AND(#REF!,"AAAAAH+v+/M=")</f>
        <v>#REF!</v>
      </c>
      <c r="IK59" t="e">
        <f>AND(#REF!,"AAAAAH+v+/Q=")</f>
        <v>#REF!</v>
      </c>
      <c r="IL59" t="e">
        <f>AND(#REF!,"AAAAAH+v+/U=")</f>
        <v>#REF!</v>
      </c>
      <c r="IM59" t="e">
        <f>AND(#REF!,"AAAAAH+v+/Y=")</f>
        <v>#REF!</v>
      </c>
      <c r="IN59" t="e">
        <f>AND(#REF!,"AAAAAH+v+/c=")</f>
        <v>#REF!</v>
      </c>
      <c r="IO59" t="e">
        <f>AND(#REF!,"AAAAAH+v+/g=")</f>
        <v>#REF!</v>
      </c>
      <c r="IP59" t="e">
        <f>AND(#REF!,"AAAAAH+v+/k=")</f>
        <v>#REF!</v>
      </c>
      <c r="IQ59" t="e">
        <f>AND(#REF!,"AAAAAH+v+/o=")</f>
        <v>#REF!</v>
      </c>
      <c r="IR59" t="e">
        <f>AND(#REF!,"AAAAAH+v+/s=")</f>
        <v>#REF!</v>
      </c>
      <c r="IS59" t="e">
        <f>AND(#REF!,"AAAAAH+v+/w=")</f>
        <v>#REF!</v>
      </c>
      <c r="IT59" t="e">
        <f>AND(#REF!,"AAAAAH+v+/0=")</f>
        <v>#REF!</v>
      </c>
      <c r="IU59" t="e">
        <f>AND(#REF!,"AAAAAH+v+/4=")</f>
        <v>#REF!</v>
      </c>
      <c r="IV59" t="e">
        <f>AND(#REF!,"AAAAAH+v+/8=")</f>
        <v>#REF!</v>
      </c>
    </row>
    <row r="60" spans="1:256" x14ac:dyDescent="0.2">
      <c r="A60" t="e">
        <f>AND(#REF!,"AAAAAD3/+wA=")</f>
        <v>#REF!</v>
      </c>
      <c r="B60" t="e">
        <f>AND(#REF!,"AAAAAD3/+wE=")</f>
        <v>#REF!</v>
      </c>
      <c r="C60" t="e">
        <f>AND(#REF!,"AAAAAD3/+wI=")</f>
        <v>#REF!</v>
      </c>
      <c r="D60" t="e">
        <f>AND(#REF!,"AAAAAD3/+wM=")</f>
        <v>#REF!</v>
      </c>
      <c r="E60" t="e">
        <f>AND(#REF!,"AAAAAD3/+wQ=")</f>
        <v>#REF!</v>
      </c>
      <c r="F60" t="e">
        <f>AND(#REF!,"AAAAAD3/+wU=")</f>
        <v>#REF!</v>
      </c>
      <c r="G60" t="e">
        <f>IF(#REF!,"AAAAAD3/+wY=",0)</f>
        <v>#REF!</v>
      </c>
      <c r="H60" t="e">
        <f>AND(#REF!,"AAAAAD3/+wc=")</f>
        <v>#REF!</v>
      </c>
      <c r="I60" t="e">
        <f>AND(#REF!,"AAAAAD3/+wg=")</f>
        <v>#REF!</v>
      </c>
      <c r="J60" t="e">
        <f>AND(#REF!,"AAAAAD3/+wk=")</f>
        <v>#REF!</v>
      </c>
      <c r="K60" t="e">
        <f>AND(#REF!,"AAAAAD3/+wo=")</f>
        <v>#REF!</v>
      </c>
      <c r="L60" t="e">
        <f>AND(#REF!,"AAAAAD3/+ws=")</f>
        <v>#REF!</v>
      </c>
      <c r="M60" t="e">
        <f>AND(#REF!,"AAAAAD3/+ww=")</f>
        <v>#REF!</v>
      </c>
      <c r="N60" t="e">
        <f>AND(#REF!,"AAAAAD3/+w0=")</f>
        <v>#REF!</v>
      </c>
      <c r="O60" t="e">
        <f>AND(#REF!,"AAAAAD3/+w4=")</f>
        <v>#REF!</v>
      </c>
      <c r="P60" t="e">
        <f>AND(#REF!,"AAAAAD3/+w8=")</f>
        <v>#REF!</v>
      </c>
      <c r="Q60" t="e">
        <f>AND(#REF!,"AAAAAD3/+xA=")</f>
        <v>#REF!</v>
      </c>
      <c r="R60" t="e">
        <f>AND(#REF!,"AAAAAD3/+xE=")</f>
        <v>#REF!</v>
      </c>
      <c r="S60" t="e">
        <f>AND(#REF!,"AAAAAD3/+xI=")</f>
        <v>#REF!</v>
      </c>
      <c r="T60" t="e">
        <f>AND(#REF!,"AAAAAD3/+xM=")</f>
        <v>#REF!</v>
      </c>
      <c r="U60" t="e">
        <f>AND(#REF!,"AAAAAD3/+xQ=")</f>
        <v>#REF!</v>
      </c>
      <c r="V60" t="e">
        <f>AND(#REF!,"AAAAAD3/+xU=")</f>
        <v>#REF!</v>
      </c>
      <c r="W60" t="e">
        <f>AND(#REF!,"AAAAAD3/+xY=")</f>
        <v>#REF!</v>
      </c>
      <c r="X60" t="e">
        <f>AND(#REF!,"AAAAAD3/+xc=")</f>
        <v>#REF!</v>
      </c>
      <c r="Y60" t="e">
        <f>AND(#REF!,"AAAAAD3/+xg=")</f>
        <v>#REF!</v>
      </c>
      <c r="Z60" t="e">
        <f>AND(#REF!,"AAAAAD3/+xk=")</f>
        <v>#REF!</v>
      </c>
      <c r="AA60" t="e">
        <f>AND(#REF!,"AAAAAD3/+xo=")</f>
        <v>#REF!</v>
      </c>
      <c r="AB60" t="e">
        <f>AND(#REF!,"AAAAAD3/+xs=")</f>
        <v>#REF!</v>
      </c>
      <c r="AC60" t="e">
        <f>AND(#REF!,"AAAAAD3/+xw=")</f>
        <v>#REF!</v>
      </c>
      <c r="AD60" t="e">
        <f>AND(#REF!,"AAAAAD3/+x0=")</f>
        <v>#REF!</v>
      </c>
      <c r="AE60" t="e">
        <f>AND(#REF!,"AAAAAD3/+x4=")</f>
        <v>#REF!</v>
      </c>
      <c r="AF60" t="e">
        <f>AND(#REF!,"AAAAAD3/+x8=")</f>
        <v>#REF!</v>
      </c>
      <c r="AG60" t="e">
        <f>AND(#REF!,"AAAAAD3/+yA=")</f>
        <v>#REF!</v>
      </c>
      <c r="AH60" t="e">
        <f>IF(#REF!,"AAAAAD3/+yE=",0)</f>
        <v>#REF!</v>
      </c>
      <c r="AI60" t="e">
        <f>AND(#REF!,"AAAAAD3/+yI=")</f>
        <v>#REF!</v>
      </c>
      <c r="AJ60" t="e">
        <f>AND(#REF!,"AAAAAD3/+yM=")</f>
        <v>#REF!</v>
      </c>
      <c r="AK60" t="e">
        <f>AND(#REF!,"AAAAAD3/+yQ=")</f>
        <v>#REF!</v>
      </c>
      <c r="AL60" t="e">
        <f>AND(#REF!,"AAAAAD3/+yU=")</f>
        <v>#REF!</v>
      </c>
      <c r="AM60" t="e">
        <f>AND(#REF!,"AAAAAD3/+yY=")</f>
        <v>#REF!</v>
      </c>
      <c r="AN60" t="e">
        <f>AND(#REF!,"AAAAAD3/+yc=")</f>
        <v>#REF!</v>
      </c>
      <c r="AO60" t="e">
        <f>AND(#REF!,"AAAAAD3/+yg=")</f>
        <v>#REF!</v>
      </c>
      <c r="AP60" t="e">
        <f>AND(#REF!,"AAAAAD3/+yk=")</f>
        <v>#REF!</v>
      </c>
      <c r="AQ60" t="e">
        <f>AND(#REF!,"AAAAAD3/+yo=")</f>
        <v>#REF!</v>
      </c>
      <c r="AR60" t="e">
        <f>AND(#REF!,"AAAAAD3/+ys=")</f>
        <v>#REF!</v>
      </c>
      <c r="AS60" t="e">
        <f>AND(#REF!,"AAAAAD3/+yw=")</f>
        <v>#REF!</v>
      </c>
      <c r="AT60" t="e">
        <f>AND(#REF!,"AAAAAD3/+y0=")</f>
        <v>#REF!</v>
      </c>
      <c r="AU60" t="e">
        <f>AND(#REF!,"AAAAAD3/+y4=")</f>
        <v>#REF!</v>
      </c>
      <c r="AV60" t="e">
        <f>AND(#REF!,"AAAAAD3/+y8=")</f>
        <v>#REF!</v>
      </c>
      <c r="AW60" t="e">
        <f>AND(#REF!,"AAAAAD3/+zA=")</f>
        <v>#REF!</v>
      </c>
      <c r="AX60" t="e">
        <f>AND(#REF!,"AAAAAD3/+zE=")</f>
        <v>#REF!</v>
      </c>
      <c r="AY60" t="e">
        <f>AND(#REF!,"AAAAAD3/+zI=")</f>
        <v>#REF!</v>
      </c>
      <c r="AZ60" t="e">
        <f>AND(#REF!,"AAAAAD3/+zM=")</f>
        <v>#REF!</v>
      </c>
      <c r="BA60" t="e">
        <f>AND(#REF!,"AAAAAD3/+zQ=")</f>
        <v>#REF!</v>
      </c>
      <c r="BB60" t="e">
        <f>AND(#REF!,"AAAAAD3/+zU=")</f>
        <v>#REF!</v>
      </c>
      <c r="BC60" t="e">
        <f>AND(#REF!,"AAAAAD3/+zY=")</f>
        <v>#REF!</v>
      </c>
      <c r="BD60" t="e">
        <f>AND(#REF!,"AAAAAD3/+zc=")</f>
        <v>#REF!</v>
      </c>
      <c r="BE60" t="e">
        <f>AND(#REF!,"AAAAAD3/+zg=")</f>
        <v>#REF!</v>
      </c>
      <c r="BF60" t="e">
        <f>AND(#REF!,"AAAAAD3/+zk=")</f>
        <v>#REF!</v>
      </c>
      <c r="BG60" t="e">
        <f>AND(#REF!,"AAAAAD3/+zo=")</f>
        <v>#REF!</v>
      </c>
      <c r="BH60" t="e">
        <f>AND(#REF!,"AAAAAD3/+zs=")</f>
        <v>#REF!</v>
      </c>
      <c r="BI60" t="e">
        <f>IF(#REF!,"AAAAAD3/+zw=",0)</f>
        <v>#REF!</v>
      </c>
      <c r="BJ60" t="e">
        <f>AND(#REF!,"AAAAAD3/+z0=")</f>
        <v>#REF!</v>
      </c>
      <c r="BK60" t="e">
        <f>AND(#REF!,"AAAAAD3/+z4=")</f>
        <v>#REF!</v>
      </c>
      <c r="BL60" t="e">
        <f>AND(#REF!,"AAAAAD3/+z8=")</f>
        <v>#REF!</v>
      </c>
      <c r="BM60" t="e">
        <f>AND(#REF!,"AAAAAD3/+0A=")</f>
        <v>#REF!</v>
      </c>
      <c r="BN60" t="e">
        <f>AND(#REF!,"AAAAAD3/+0E=")</f>
        <v>#REF!</v>
      </c>
      <c r="BO60" t="e">
        <f>AND(#REF!,"AAAAAD3/+0I=")</f>
        <v>#REF!</v>
      </c>
      <c r="BP60" t="e">
        <f>AND(#REF!,"AAAAAD3/+0M=")</f>
        <v>#REF!</v>
      </c>
      <c r="BQ60" t="e">
        <f>AND(#REF!,"AAAAAD3/+0Q=")</f>
        <v>#REF!</v>
      </c>
      <c r="BR60" t="e">
        <f>AND(#REF!,"AAAAAD3/+0U=")</f>
        <v>#REF!</v>
      </c>
      <c r="BS60" t="e">
        <f>AND(#REF!,"AAAAAD3/+0Y=")</f>
        <v>#REF!</v>
      </c>
      <c r="BT60" t="e">
        <f>AND(#REF!,"AAAAAD3/+0c=")</f>
        <v>#REF!</v>
      </c>
      <c r="BU60" t="e">
        <f>AND(#REF!,"AAAAAD3/+0g=")</f>
        <v>#REF!</v>
      </c>
      <c r="BV60" t="e">
        <f>AND(#REF!,"AAAAAD3/+0k=")</f>
        <v>#REF!</v>
      </c>
      <c r="BW60" t="e">
        <f>AND(#REF!,"AAAAAD3/+0o=")</f>
        <v>#REF!</v>
      </c>
      <c r="BX60" t="e">
        <f>AND(#REF!,"AAAAAD3/+0s=")</f>
        <v>#REF!</v>
      </c>
      <c r="BY60" t="e">
        <f>AND(#REF!,"AAAAAD3/+0w=")</f>
        <v>#REF!</v>
      </c>
      <c r="BZ60" t="e">
        <f>AND(#REF!,"AAAAAD3/+00=")</f>
        <v>#REF!</v>
      </c>
      <c r="CA60" t="e">
        <f>AND(#REF!,"AAAAAD3/+04=")</f>
        <v>#REF!</v>
      </c>
      <c r="CB60" t="e">
        <f>AND(#REF!,"AAAAAD3/+08=")</f>
        <v>#REF!</v>
      </c>
      <c r="CC60" t="e">
        <f>AND(#REF!,"AAAAAD3/+1A=")</f>
        <v>#REF!</v>
      </c>
      <c r="CD60" t="e">
        <f>AND(#REF!,"AAAAAD3/+1E=")</f>
        <v>#REF!</v>
      </c>
      <c r="CE60" t="e">
        <f>AND(#REF!,"AAAAAD3/+1I=")</f>
        <v>#REF!</v>
      </c>
      <c r="CF60" t="e">
        <f>AND(#REF!,"AAAAAD3/+1M=")</f>
        <v>#REF!</v>
      </c>
      <c r="CG60" t="e">
        <f>AND(#REF!,"AAAAAD3/+1Q=")</f>
        <v>#REF!</v>
      </c>
      <c r="CH60" t="e">
        <f>AND(#REF!,"AAAAAD3/+1U=")</f>
        <v>#REF!</v>
      </c>
      <c r="CI60" t="e">
        <f>AND(#REF!,"AAAAAD3/+1Y=")</f>
        <v>#REF!</v>
      </c>
      <c r="CJ60" t="e">
        <f>IF(#REF!,"AAAAAD3/+1c=",0)</f>
        <v>#REF!</v>
      </c>
      <c r="CK60" t="e">
        <f>AND(#REF!,"AAAAAD3/+1g=")</f>
        <v>#REF!</v>
      </c>
      <c r="CL60" t="e">
        <f>AND(#REF!,"AAAAAD3/+1k=")</f>
        <v>#REF!</v>
      </c>
      <c r="CM60" t="e">
        <f>AND(#REF!,"AAAAAD3/+1o=")</f>
        <v>#REF!</v>
      </c>
      <c r="CN60" t="e">
        <f>AND(#REF!,"AAAAAD3/+1s=")</f>
        <v>#REF!</v>
      </c>
      <c r="CO60" t="e">
        <f>AND(#REF!,"AAAAAD3/+1w=")</f>
        <v>#REF!</v>
      </c>
      <c r="CP60" t="e">
        <f>AND(#REF!,"AAAAAD3/+10=")</f>
        <v>#REF!</v>
      </c>
      <c r="CQ60" t="e">
        <f>AND(#REF!,"AAAAAD3/+14=")</f>
        <v>#REF!</v>
      </c>
      <c r="CR60" t="e">
        <f>AND(#REF!,"AAAAAD3/+18=")</f>
        <v>#REF!</v>
      </c>
      <c r="CS60" t="e">
        <f>AND(#REF!,"AAAAAD3/+2A=")</f>
        <v>#REF!</v>
      </c>
      <c r="CT60" t="e">
        <f>AND(#REF!,"AAAAAD3/+2E=")</f>
        <v>#REF!</v>
      </c>
      <c r="CU60" t="e">
        <f>AND(#REF!,"AAAAAD3/+2I=")</f>
        <v>#REF!</v>
      </c>
      <c r="CV60" t="e">
        <f>AND(#REF!,"AAAAAD3/+2M=")</f>
        <v>#REF!</v>
      </c>
      <c r="CW60" t="e">
        <f>AND(#REF!,"AAAAAD3/+2Q=")</f>
        <v>#REF!</v>
      </c>
      <c r="CX60" t="e">
        <f>AND(#REF!,"AAAAAD3/+2U=")</f>
        <v>#REF!</v>
      </c>
      <c r="CY60" t="e">
        <f>AND(#REF!,"AAAAAD3/+2Y=")</f>
        <v>#REF!</v>
      </c>
      <c r="CZ60" t="e">
        <f>AND(#REF!,"AAAAAD3/+2c=")</f>
        <v>#REF!</v>
      </c>
      <c r="DA60" t="e">
        <f>AND(#REF!,"AAAAAD3/+2g=")</f>
        <v>#REF!</v>
      </c>
      <c r="DB60" t="e">
        <f>AND(#REF!,"AAAAAD3/+2k=")</f>
        <v>#REF!</v>
      </c>
      <c r="DC60" t="e">
        <f>AND(#REF!,"AAAAAD3/+2o=")</f>
        <v>#REF!</v>
      </c>
      <c r="DD60" t="e">
        <f>AND(#REF!,"AAAAAD3/+2s=")</f>
        <v>#REF!</v>
      </c>
      <c r="DE60" t="e">
        <f>AND(#REF!,"AAAAAD3/+2w=")</f>
        <v>#REF!</v>
      </c>
      <c r="DF60" t="e">
        <f>AND(#REF!,"AAAAAD3/+20=")</f>
        <v>#REF!</v>
      </c>
      <c r="DG60" t="e">
        <f>AND(#REF!,"AAAAAD3/+24=")</f>
        <v>#REF!</v>
      </c>
      <c r="DH60" t="e">
        <f>AND(#REF!,"AAAAAD3/+28=")</f>
        <v>#REF!</v>
      </c>
      <c r="DI60" t="e">
        <f>AND(#REF!,"AAAAAD3/+3A=")</f>
        <v>#REF!</v>
      </c>
      <c r="DJ60" t="e">
        <f>AND(#REF!,"AAAAAD3/+3E=")</f>
        <v>#REF!</v>
      </c>
      <c r="DK60" t="e">
        <f>IF(#REF!,"AAAAAD3/+3I=",0)</f>
        <v>#REF!</v>
      </c>
      <c r="DL60" t="e">
        <f>AND(#REF!,"AAAAAD3/+3M=")</f>
        <v>#REF!</v>
      </c>
      <c r="DM60" t="e">
        <f>AND(#REF!,"AAAAAD3/+3Q=")</f>
        <v>#REF!</v>
      </c>
      <c r="DN60" t="e">
        <f>AND(#REF!,"AAAAAD3/+3U=")</f>
        <v>#REF!</v>
      </c>
      <c r="DO60" t="e">
        <f>AND(#REF!,"AAAAAD3/+3Y=")</f>
        <v>#REF!</v>
      </c>
      <c r="DP60" t="e">
        <f>AND(#REF!,"AAAAAD3/+3c=")</f>
        <v>#REF!</v>
      </c>
      <c r="DQ60" t="e">
        <f>AND(#REF!,"AAAAAD3/+3g=")</f>
        <v>#REF!</v>
      </c>
      <c r="DR60" t="e">
        <f>AND(#REF!,"AAAAAD3/+3k=")</f>
        <v>#REF!</v>
      </c>
      <c r="DS60" t="e">
        <f>AND(#REF!,"AAAAAD3/+3o=")</f>
        <v>#REF!</v>
      </c>
      <c r="DT60" t="e">
        <f>AND(#REF!,"AAAAAD3/+3s=")</f>
        <v>#REF!</v>
      </c>
      <c r="DU60" t="e">
        <f>AND(#REF!,"AAAAAD3/+3w=")</f>
        <v>#REF!</v>
      </c>
      <c r="DV60" t="e">
        <f>AND(#REF!,"AAAAAD3/+30=")</f>
        <v>#REF!</v>
      </c>
      <c r="DW60" t="e">
        <f>AND(#REF!,"AAAAAD3/+34=")</f>
        <v>#REF!</v>
      </c>
      <c r="DX60" t="e">
        <f>AND(#REF!,"AAAAAD3/+38=")</f>
        <v>#REF!</v>
      </c>
      <c r="DY60" t="e">
        <f>AND(#REF!,"AAAAAD3/+4A=")</f>
        <v>#REF!</v>
      </c>
      <c r="DZ60" t="e">
        <f>AND(#REF!,"AAAAAD3/+4E=")</f>
        <v>#REF!</v>
      </c>
      <c r="EA60" t="e">
        <f>AND(#REF!,"AAAAAD3/+4I=")</f>
        <v>#REF!</v>
      </c>
      <c r="EB60" t="e">
        <f>AND(#REF!,"AAAAAD3/+4M=")</f>
        <v>#REF!</v>
      </c>
      <c r="EC60" t="e">
        <f>AND(#REF!,"AAAAAD3/+4Q=")</f>
        <v>#REF!</v>
      </c>
      <c r="ED60" t="e">
        <f>AND(#REF!,"AAAAAD3/+4U=")</f>
        <v>#REF!</v>
      </c>
      <c r="EE60" t="e">
        <f>AND(#REF!,"AAAAAD3/+4Y=")</f>
        <v>#REF!</v>
      </c>
      <c r="EF60" t="e">
        <f>AND(#REF!,"AAAAAD3/+4c=")</f>
        <v>#REF!</v>
      </c>
      <c r="EG60" t="e">
        <f>AND(#REF!,"AAAAAD3/+4g=")</f>
        <v>#REF!</v>
      </c>
      <c r="EH60" t="e">
        <f>AND(#REF!,"AAAAAD3/+4k=")</f>
        <v>#REF!</v>
      </c>
      <c r="EI60" t="e">
        <f>AND(#REF!,"AAAAAD3/+4o=")</f>
        <v>#REF!</v>
      </c>
      <c r="EJ60" t="e">
        <f>AND(#REF!,"AAAAAD3/+4s=")</f>
        <v>#REF!</v>
      </c>
      <c r="EK60" t="e">
        <f>AND(#REF!,"AAAAAD3/+4w=")</f>
        <v>#REF!</v>
      </c>
      <c r="EL60" t="e">
        <f>IF(#REF!,"AAAAAD3/+40=",0)</f>
        <v>#REF!</v>
      </c>
      <c r="EM60" t="e">
        <f>AND(#REF!,"AAAAAD3/+44=")</f>
        <v>#REF!</v>
      </c>
      <c r="EN60" t="e">
        <f>AND(#REF!,"AAAAAD3/+48=")</f>
        <v>#REF!</v>
      </c>
      <c r="EO60" t="e">
        <f>AND(#REF!,"AAAAAD3/+5A=")</f>
        <v>#REF!</v>
      </c>
      <c r="EP60" t="e">
        <f>AND(#REF!,"AAAAAD3/+5E=")</f>
        <v>#REF!</v>
      </c>
      <c r="EQ60" t="e">
        <f>AND(#REF!,"AAAAAD3/+5I=")</f>
        <v>#REF!</v>
      </c>
      <c r="ER60" t="e">
        <f>AND(#REF!,"AAAAAD3/+5M=")</f>
        <v>#REF!</v>
      </c>
      <c r="ES60" t="e">
        <f>AND(#REF!,"AAAAAD3/+5Q=")</f>
        <v>#REF!</v>
      </c>
      <c r="ET60" t="e">
        <f>AND(#REF!,"AAAAAD3/+5U=")</f>
        <v>#REF!</v>
      </c>
      <c r="EU60" t="e">
        <f>AND(#REF!,"AAAAAD3/+5Y=")</f>
        <v>#REF!</v>
      </c>
      <c r="EV60" t="e">
        <f>AND(#REF!,"AAAAAD3/+5c=")</f>
        <v>#REF!</v>
      </c>
      <c r="EW60" t="e">
        <f>AND(#REF!,"AAAAAD3/+5g=")</f>
        <v>#REF!</v>
      </c>
      <c r="EX60" t="e">
        <f>AND(#REF!,"AAAAAD3/+5k=")</f>
        <v>#REF!</v>
      </c>
      <c r="EY60" t="e">
        <f>AND(#REF!,"AAAAAD3/+5o=")</f>
        <v>#REF!</v>
      </c>
      <c r="EZ60" t="e">
        <f>AND(#REF!,"AAAAAD3/+5s=")</f>
        <v>#REF!</v>
      </c>
      <c r="FA60" t="e">
        <f>AND(#REF!,"AAAAAD3/+5w=")</f>
        <v>#REF!</v>
      </c>
      <c r="FB60" t="e">
        <f>AND(#REF!,"AAAAAD3/+50=")</f>
        <v>#REF!</v>
      </c>
      <c r="FC60" t="e">
        <f>AND(#REF!,"AAAAAD3/+54=")</f>
        <v>#REF!</v>
      </c>
      <c r="FD60" t="e">
        <f>AND(#REF!,"AAAAAD3/+58=")</f>
        <v>#REF!</v>
      </c>
      <c r="FE60" t="e">
        <f>AND(#REF!,"AAAAAD3/+6A=")</f>
        <v>#REF!</v>
      </c>
      <c r="FF60" t="e">
        <f>AND(#REF!,"AAAAAD3/+6E=")</f>
        <v>#REF!</v>
      </c>
      <c r="FG60" t="e">
        <f>AND(#REF!,"AAAAAD3/+6I=")</f>
        <v>#REF!</v>
      </c>
      <c r="FH60" t="e">
        <f>AND(#REF!,"AAAAAD3/+6M=")</f>
        <v>#REF!</v>
      </c>
      <c r="FI60" t="e">
        <f>AND(#REF!,"AAAAAD3/+6Q=")</f>
        <v>#REF!</v>
      </c>
      <c r="FJ60" t="e">
        <f>AND(#REF!,"AAAAAD3/+6U=")</f>
        <v>#REF!</v>
      </c>
      <c r="FK60" t="e">
        <f>AND(#REF!,"AAAAAD3/+6Y=")</f>
        <v>#REF!</v>
      </c>
      <c r="FL60" t="e">
        <f>AND(#REF!,"AAAAAD3/+6c=")</f>
        <v>#REF!</v>
      </c>
      <c r="FM60" t="e">
        <f>IF(#REF!,"AAAAAD3/+6g=",0)</f>
        <v>#REF!</v>
      </c>
      <c r="FN60" t="e">
        <f>AND(#REF!,"AAAAAD3/+6k=")</f>
        <v>#REF!</v>
      </c>
      <c r="FO60" t="e">
        <f>AND(#REF!,"AAAAAD3/+6o=")</f>
        <v>#REF!</v>
      </c>
      <c r="FP60" t="e">
        <f>AND(#REF!,"AAAAAD3/+6s=")</f>
        <v>#REF!</v>
      </c>
      <c r="FQ60" t="e">
        <f>AND(#REF!,"AAAAAD3/+6w=")</f>
        <v>#REF!</v>
      </c>
      <c r="FR60" t="e">
        <f>AND(#REF!,"AAAAAD3/+60=")</f>
        <v>#REF!</v>
      </c>
      <c r="FS60" t="e">
        <f>AND(#REF!,"AAAAAD3/+64=")</f>
        <v>#REF!</v>
      </c>
      <c r="FT60" t="e">
        <f>AND(#REF!,"AAAAAD3/+68=")</f>
        <v>#REF!</v>
      </c>
      <c r="FU60" t="e">
        <f>AND(#REF!,"AAAAAD3/+7A=")</f>
        <v>#REF!</v>
      </c>
      <c r="FV60" t="e">
        <f>AND(#REF!,"AAAAAD3/+7E=")</f>
        <v>#REF!</v>
      </c>
      <c r="FW60" t="e">
        <f>AND(#REF!,"AAAAAD3/+7I=")</f>
        <v>#REF!</v>
      </c>
      <c r="FX60" t="e">
        <f>AND(#REF!,"AAAAAD3/+7M=")</f>
        <v>#REF!</v>
      </c>
      <c r="FY60" t="e">
        <f>AND(#REF!,"AAAAAD3/+7Q=")</f>
        <v>#REF!</v>
      </c>
      <c r="FZ60" t="e">
        <f>AND(#REF!,"AAAAAD3/+7U=")</f>
        <v>#REF!</v>
      </c>
      <c r="GA60" t="e">
        <f>AND(#REF!,"AAAAAD3/+7Y=")</f>
        <v>#REF!</v>
      </c>
      <c r="GB60" t="e">
        <f>AND(#REF!,"AAAAAD3/+7c=")</f>
        <v>#REF!</v>
      </c>
      <c r="GC60" t="e">
        <f>AND(#REF!,"AAAAAD3/+7g=")</f>
        <v>#REF!</v>
      </c>
      <c r="GD60" t="e">
        <f>AND(#REF!,"AAAAAD3/+7k=")</f>
        <v>#REF!</v>
      </c>
      <c r="GE60" t="e">
        <f>AND(#REF!,"AAAAAD3/+7o=")</f>
        <v>#REF!</v>
      </c>
      <c r="GF60" t="e">
        <f>AND(#REF!,"AAAAAD3/+7s=")</f>
        <v>#REF!</v>
      </c>
      <c r="GG60" t="e">
        <f>AND(#REF!,"AAAAAD3/+7w=")</f>
        <v>#REF!</v>
      </c>
      <c r="GH60" t="e">
        <f>AND(#REF!,"AAAAAD3/+70=")</f>
        <v>#REF!</v>
      </c>
      <c r="GI60" t="e">
        <f>AND(#REF!,"AAAAAD3/+74=")</f>
        <v>#REF!</v>
      </c>
      <c r="GJ60" t="e">
        <f>AND(#REF!,"AAAAAD3/+78=")</f>
        <v>#REF!</v>
      </c>
      <c r="GK60" t="e">
        <f>AND(#REF!,"AAAAAD3/+8A=")</f>
        <v>#REF!</v>
      </c>
      <c r="GL60" t="e">
        <f>AND(#REF!,"AAAAAD3/+8E=")</f>
        <v>#REF!</v>
      </c>
      <c r="GM60" t="e">
        <f>AND(#REF!,"AAAAAD3/+8I=")</f>
        <v>#REF!</v>
      </c>
      <c r="GN60" t="e">
        <f>IF(#REF!,"AAAAAD3/+8M=",0)</f>
        <v>#REF!</v>
      </c>
      <c r="GO60" t="e">
        <f>AND(#REF!,"AAAAAD3/+8Q=")</f>
        <v>#REF!</v>
      </c>
      <c r="GP60" t="e">
        <f>AND(#REF!,"AAAAAD3/+8U=")</f>
        <v>#REF!</v>
      </c>
      <c r="GQ60" t="e">
        <f>AND(#REF!,"AAAAAD3/+8Y=")</f>
        <v>#REF!</v>
      </c>
      <c r="GR60" t="e">
        <f>AND(#REF!,"AAAAAD3/+8c=")</f>
        <v>#REF!</v>
      </c>
      <c r="GS60" t="e">
        <f>AND(#REF!,"AAAAAD3/+8g=")</f>
        <v>#REF!</v>
      </c>
      <c r="GT60" t="e">
        <f>AND(#REF!,"AAAAAD3/+8k=")</f>
        <v>#REF!</v>
      </c>
      <c r="GU60" t="e">
        <f>AND(#REF!,"AAAAAD3/+8o=")</f>
        <v>#REF!</v>
      </c>
      <c r="GV60" t="e">
        <f>AND(#REF!,"AAAAAD3/+8s=")</f>
        <v>#REF!</v>
      </c>
      <c r="GW60" t="e">
        <f>AND(#REF!,"AAAAAD3/+8w=")</f>
        <v>#REF!</v>
      </c>
      <c r="GX60" t="e">
        <f>AND(#REF!,"AAAAAD3/+80=")</f>
        <v>#REF!</v>
      </c>
      <c r="GY60" t="e">
        <f>AND(#REF!,"AAAAAD3/+84=")</f>
        <v>#REF!</v>
      </c>
      <c r="GZ60" t="e">
        <f>AND(#REF!,"AAAAAD3/+88=")</f>
        <v>#REF!</v>
      </c>
      <c r="HA60" t="e">
        <f>AND(#REF!,"AAAAAD3/+9A=")</f>
        <v>#REF!</v>
      </c>
      <c r="HB60" t="e">
        <f>AND(#REF!,"AAAAAD3/+9E=")</f>
        <v>#REF!</v>
      </c>
      <c r="HC60" t="e">
        <f>AND(#REF!,"AAAAAD3/+9I=")</f>
        <v>#REF!</v>
      </c>
      <c r="HD60" t="e">
        <f>AND(#REF!,"AAAAAD3/+9M=")</f>
        <v>#REF!</v>
      </c>
      <c r="HE60" t="e">
        <f>AND(#REF!,"AAAAAD3/+9Q=")</f>
        <v>#REF!</v>
      </c>
      <c r="HF60" t="e">
        <f>AND(#REF!,"AAAAAD3/+9U=")</f>
        <v>#REF!</v>
      </c>
      <c r="HG60" t="e">
        <f>AND(#REF!,"AAAAAD3/+9Y=")</f>
        <v>#REF!</v>
      </c>
      <c r="HH60" t="e">
        <f>AND(#REF!,"AAAAAD3/+9c=")</f>
        <v>#REF!</v>
      </c>
      <c r="HI60" t="e">
        <f>AND(#REF!,"AAAAAD3/+9g=")</f>
        <v>#REF!</v>
      </c>
      <c r="HJ60" t="e">
        <f>AND(#REF!,"AAAAAD3/+9k=")</f>
        <v>#REF!</v>
      </c>
      <c r="HK60" t="e">
        <f>AND(#REF!,"AAAAAD3/+9o=")</f>
        <v>#REF!</v>
      </c>
      <c r="HL60" t="e">
        <f>AND(#REF!,"AAAAAD3/+9s=")</f>
        <v>#REF!</v>
      </c>
      <c r="HM60" t="e">
        <f>AND(#REF!,"AAAAAD3/+9w=")</f>
        <v>#REF!</v>
      </c>
      <c r="HN60" t="e">
        <f>AND(#REF!,"AAAAAD3/+90=")</f>
        <v>#REF!</v>
      </c>
      <c r="HO60" t="e">
        <f>IF(#REF!,"AAAAAD3/+94=",0)</f>
        <v>#REF!</v>
      </c>
      <c r="HP60" t="e">
        <f>AND(#REF!,"AAAAAD3/+98=")</f>
        <v>#REF!</v>
      </c>
      <c r="HQ60" t="e">
        <f>AND(#REF!,"AAAAAD3/++A=")</f>
        <v>#REF!</v>
      </c>
      <c r="HR60" t="e">
        <f>AND(#REF!,"AAAAAD3/++E=")</f>
        <v>#REF!</v>
      </c>
      <c r="HS60" t="e">
        <f>AND(#REF!,"AAAAAD3/++I=")</f>
        <v>#REF!</v>
      </c>
      <c r="HT60" t="e">
        <f>AND(#REF!,"AAAAAD3/++M=")</f>
        <v>#REF!</v>
      </c>
      <c r="HU60" t="e">
        <f>AND(#REF!,"AAAAAD3/++Q=")</f>
        <v>#REF!</v>
      </c>
      <c r="HV60" t="e">
        <f>AND(#REF!,"AAAAAD3/++U=")</f>
        <v>#REF!</v>
      </c>
      <c r="HW60" t="e">
        <f>AND(#REF!,"AAAAAD3/++Y=")</f>
        <v>#REF!</v>
      </c>
      <c r="HX60" t="e">
        <f>AND(#REF!,"AAAAAD3/++c=")</f>
        <v>#REF!</v>
      </c>
      <c r="HY60" t="e">
        <f>AND(#REF!,"AAAAAD3/++g=")</f>
        <v>#REF!</v>
      </c>
      <c r="HZ60" t="e">
        <f>AND(#REF!,"AAAAAD3/++k=")</f>
        <v>#REF!</v>
      </c>
      <c r="IA60" t="e">
        <f>AND(#REF!,"AAAAAD3/++o=")</f>
        <v>#REF!</v>
      </c>
      <c r="IB60" t="e">
        <f>AND(#REF!,"AAAAAD3/++s=")</f>
        <v>#REF!</v>
      </c>
      <c r="IC60" t="e">
        <f>AND(#REF!,"AAAAAD3/++w=")</f>
        <v>#REF!</v>
      </c>
      <c r="ID60" t="e">
        <f>AND(#REF!,"AAAAAD3/++0=")</f>
        <v>#REF!</v>
      </c>
      <c r="IE60" t="e">
        <f>AND(#REF!,"AAAAAD3/++4=")</f>
        <v>#REF!</v>
      </c>
      <c r="IF60" t="e">
        <f>AND(#REF!,"AAAAAD3/++8=")</f>
        <v>#REF!</v>
      </c>
      <c r="IG60" t="e">
        <f>AND(#REF!,"AAAAAD3/+/A=")</f>
        <v>#REF!</v>
      </c>
      <c r="IH60" t="e">
        <f>AND(#REF!,"AAAAAD3/+/E=")</f>
        <v>#REF!</v>
      </c>
      <c r="II60" t="e">
        <f>AND(#REF!,"AAAAAD3/+/I=")</f>
        <v>#REF!</v>
      </c>
      <c r="IJ60" t="e">
        <f>AND(#REF!,"AAAAAD3/+/M=")</f>
        <v>#REF!</v>
      </c>
      <c r="IK60" t="e">
        <f>AND(#REF!,"AAAAAD3/+/Q=")</f>
        <v>#REF!</v>
      </c>
      <c r="IL60" t="e">
        <f>AND(#REF!,"AAAAAD3/+/U=")</f>
        <v>#REF!</v>
      </c>
      <c r="IM60" t="e">
        <f>AND(#REF!,"AAAAAD3/+/Y=")</f>
        <v>#REF!</v>
      </c>
      <c r="IN60" t="e">
        <f>AND(#REF!,"AAAAAD3/+/c=")</f>
        <v>#REF!</v>
      </c>
      <c r="IO60" t="e">
        <f>AND(#REF!,"AAAAAD3/+/g=")</f>
        <v>#REF!</v>
      </c>
      <c r="IP60" t="e">
        <f>IF(#REF!,"AAAAAD3/+/k=",0)</f>
        <v>#REF!</v>
      </c>
      <c r="IQ60" t="e">
        <f>AND(#REF!,"AAAAAD3/+/o=")</f>
        <v>#REF!</v>
      </c>
      <c r="IR60" t="e">
        <f>AND(#REF!,"AAAAAD3/+/s=")</f>
        <v>#REF!</v>
      </c>
      <c r="IS60" t="e">
        <f>AND(#REF!,"AAAAAD3/+/w=")</f>
        <v>#REF!</v>
      </c>
      <c r="IT60" t="e">
        <f>AND(#REF!,"AAAAAD3/+/0=")</f>
        <v>#REF!</v>
      </c>
      <c r="IU60" t="e">
        <f>AND(#REF!,"AAAAAD3/+/4=")</f>
        <v>#REF!</v>
      </c>
      <c r="IV60" t="e">
        <f>AND(#REF!,"AAAAAD3/+/8=")</f>
        <v>#REF!</v>
      </c>
    </row>
    <row r="61" spans="1:256" x14ac:dyDescent="0.2">
      <c r="A61" t="e">
        <f>AND(#REF!,"AAAAAHzd8QA=")</f>
        <v>#REF!</v>
      </c>
      <c r="B61" t="e">
        <f>AND(#REF!,"AAAAAHzd8QE=")</f>
        <v>#REF!</v>
      </c>
      <c r="C61" t="e">
        <f>AND(#REF!,"AAAAAHzd8QI=")</f>
        <v>#REF!</v>
      </c>
      <c r="D61" t="e">
        <f>AND(#REF!,"AAAAAHzd8QM=")</f>
        <v>#REF!</v>
      </c>
      <c r="E61" t="e">
        <f>AND(#REF!,"AAAAAHzd8QQ=")</f>
        <v>#REF!</v>
      </c>
      <c r="F61" t="e">
        <f>AND(#REF!,"AAAAAHzd8QU=")</f>
        <v>#REF!</v>
      </c>
      <c r="G61" t="e">
        <f>AND(#REF!,"AAAAAHzd8QY=")</f>
        <v>#REF!</v>
      </c>
      <c r="H61" t="e">
        <f>AND(#REF!,"AAAAAHzd8Qc=")</f>
        <v>#REF!</v>
      </c>
      <c r="I61" t="e">
        <f>AND(#REF!,"AAAAAHzd8Qg=")</f>
        <v>#REF!</v>
      </c>
      <c r="J61" t="e">
        <f>AND(#REF!,"AAAAAHzd8Qk=")</f>
        <v>#REF!</v>
      </c>
      <c r="K61" t="e">
        <f>AND(#REF!,"AAAAAHzd8Qo=")</f>
        <v>#REF!</v>
      </c>
      <c r="L61" t="e">
        <f>AND(#REF!,"AAAAAHzd8Qs=")</f>
        <v>#REF!</v>
      </c>
      <c r="M61" t="e">
        <f>AND(#REF!,"AAAAAHzd8Qw=")</f>
        <v>#REF!</v>
      </c>
      <c r="N61" t="e">
        <f>AND(#REF!,"AAAAAHzd8Q0=")</f>
        <v>#REF!</v>
      </c>
      <c r="O61" t="e">
        <f>AND(#REF!,"AAAAAHzd8Q4=")</f>
        <v>#REF!</v>
      </c>
      <c r="P61" t="e">
        <f>AND(#REF!,"AAAAAHzd8Q8=")</f>
        <v>#REF!</v>
      </c>
      <c r="Q61" t="e">
        <f>AND(#REF!,"AAAAAHzd8RA=")</f>
        <v>#REF!</v>
      </c>
      <c r="R61" t="e">
        <f>AND(#REF!,"AAAAAHzd8RE=")</f>
        <v>#REF!</v>
      </c>
      <c r="S61" t="e">
        <f>AND(#REF!,"AAAAAHzd8RI=")</f>
        <v>#REF!</v>
      </c>
      <c r="T61" t="e">
        <f>AND(#REF!,"AAAAAHzd8RM=")</f>
        <v>#REF!</v>
      </c>
      <c r="U61" t="e">
        <f>IF(#REF!,"AAAAAHzd8RQ=",0)</f>
        <v>#REF!</v>
      </c>
      <c r="V61" t="e">
        <f>AND(#REF!,"AAAAAHzd8RU=")</f>
        <v>#REF!</v>
      </c>
      <c r="W61" t="e">
        <f>AND(#REF!,"AAAAAHzd8RY=")</f>
        <v>#REF!</v>
      </c>
      <c r="X61" t="e">
        <f>AND(#REF!,"AAAAAHzd8Rc=")</f>
        <v>#REF!</v>
      </c>
      <c r="Y61" t="e">
        <f>AND(#REF!,"AAAAAHzd8Rg=")</f>
        <v>#REF!</v>
      </c>
      <c r="Z61" t="e">
        <f>AND(#REF!,"AAAAAHzd8Rk=")</f>
        <v>#REF!</v>
      </c>
      <c r="AA61" t="e">
        <f>AND(#REF!,"AAAAAHzd8Ro=")</f>
        <v>#REF!</v>
      </c>
      <c r="AB61" t="e">
        <f>AND(#REF!,"AAAAAHzd8Rs=")</f>
        <v>#REF!</v>
      </c>
      <c r="AC61" t="e">
        <f>AND(#REF!,"AAAAAHzd8Rw=")</f>
        <v>#REF!</v>
      </c>
      <c r="AD61" t="e">
        <f>AND(#REF!,"AAAAAHzd8R0=")</f>
        <v>#REF!</v>
      </c>
      <c r="AE61" t="e">
        <f>AND(#REF!,"AAAAAHzd8R4=")</f>
        <v>#REF!</v>
      </c>
      <c r="AF61" t="e">
        <f>AND(#REF!,"AAAAAHzd8R8=")</f>
        <v>#REF!</v>
      </c>
      <c r="AG61" t="e">
        <f>AND(#REF!,"AAAAAHzd8SA=")</f>
        <v>#REF!</v>
      </c>
      <c r="AH61" t="e">
        <f>AND(#REF!,"AAAAAHzd8SE=")</f>
        <v>#REF!</v>
      </c>
      <c r="AI61" t="e">
        <f>AND(#REF!,"AAAAAHzd8SI=")</f>
        <v>#REF!</v>
      </c>
      <c r="AJ61" t="e">
        <f>AND(#REF!,"AAAAAHzd8SM=")</f>
        <v>#REF!</v>
      </c>
      <c r="AK61" t="e">
        <f>AND(#REF!,"AAAAAHzd8SQ=")</f>
        <v>#REF!</v>
      </c>
      <c r="AL61" t="e">
        <f>AND(#REF!,"AAAAAHzd8SU=")</f>
        <v>#REF!</v>
      </c>
      <c r="AM61" t="e">
        <f>AND(#REF!,"AAAAAHzd8SY=")</f>
        <v>#REF!</v>
      </c>
      <c r="AN61" t="e">
        <f>AND(#REF!,"AAAAAHzd8Sc=")</f>
        <v>#REF!</v>
      </c>
      <c r="AO61" t="e">
        <f>AND(#REF!,"AAAAAHzd8Sg=")</f>
        <v>#REF!</v>
      </c>
      <c r="AP61" t="e">
        <f>AND(#REF!,"AAAAAHzd8Sk=")</f>
        <v>#REF!</v>
      </c>
      <c r="AQ61" t="e">
        <f>AND(#REF!,"AAAAAHzd8So=")</f>
        <v>#REF!</v>
      </c>
      <c r="AR61" t="e">
        <f>AND(#REF!,"AAAAAHzd8Ss=")</f>
        <v>#REF!</v>
      </c>
      <c r="AS61" t="e">
        <f>AND(#REF!,"AAAAAHzd8Sw=")</f>
        <v>#REF!</v>
      </c>
      <c r="AT61" t="e">
        <f>AND(#REF!,"AAAAAHzd8S0=")</f>
        <v>#REF!</v>
      </c>
      <c r="AU61" t="e">
        <f>AND(#REF!,"AAAAAHzd8S4=")</f>
        <v>#REF!</v>
      </c>
      <c r="AV61" t="e">
        <f>IF(#REF!,"AAAAAHzd8S8=",0)</f>
        <v>#REF!</v>
      </c>
      <c r="AW61" t="e">
        <f>IF(#REF!,"AAAAAHzd8TA=",0)</f>
        <v>#REF!</v>
      </c>
      <c r="AX61" t="e">
        <f>IF(#REF!,"AAAAAHzd8TE=",0)</f>
        <v>#REF!</v>
      </c>
      <c r="AY61" t="e">
        <f>IF(#REF!,"AAAAAHzd8TI=",0)</f>
        <v>#REF!</v>
      </c>
      <c r="AZ61" t="e">
        <f>IF(#REF!,"AAAAAHzd8TM=",0)</f>
        <v>#REF!</v>
      </c>
      <c r="BA61" t="e">
        <f>IF(#REF!,"AAAAAHzd8TQ=",0)</f>
        <v>#REF!</v>
      </c>
      <c r="BB61" t="e">
        <f>IF(#REF!,"AAAAAHzd8TU=",0)</f>
        <v>#REF!</v>
      </c>
      <c r="BC61" t="e">
        <f>IF(#REF!,"AAAAAHzd8TY=",0)</f>
        <v>#REF!</v>
      </c>
      <c r="BD61" t="e">
        <f>IF(#REF!,"AAAAAHzd8Tc=",0)</f>
        <v>#REF!</v>
      </c>
      <c r="BE61" t="e">
        <f>IF(#REF!,"AAAAAHzd8Tg=",0)</f>
        <v>#REF!</v>
      </c>
      <c r="BF61" t="e">
        <f>IF(#REF!,"AAAAAHzd8Tk=",0)</f>
        <v>#REF!</v>
      </c>
      <c r="BG61" t="e">
        <f>IF(#REF!,"AAAAAHzd8To=",0)</f>
        <v>#REF!</v>
      </c>
      <c r="BH61" t="e">
        <f>IF(#REF!,"AAAAAHzd8Ts=",0)</f>
        <v>#REF!</v>
      </c>
      <c r="BI61" t="e">
        <f>IF(#REF!,"AAAAAHzd8Tw=",0)</f>
        <v>#REF!</v>
      </c>
      <c r="BJ61" t="e">
        <f>IF(#REF!,"AAAAAHzd8T0=",0)</f>
        <v>#REF!</v>
      </c>
      <c r="BK61" t="e">
        <f>IF(#REF!,"AAAAAHzd8T4=",0)</f>
        <v>#REF!</v>
      </c>
      <c r="BL61" t="e">
        <f>IF(#REF!,"AAAAAHzd8T8=",0)</f>
        <v>#REF!</v>
      </c>
      <c r="BM61" t="e">
        <f>IF(#REF!,"AAAAAHzd8UA=",0)</f>
        <v>#REF!</v>
      </c>
      <c r="BN61" t="e">
        <f>IF(#REF!,"AAAAAHzd8UE=",0)</f>
        <v>#REF!</v>
      </c>
      <c r="BO61" t="e">
        <f>IF(#REF!,"AAAAAHzd8UI=",0)</f>
        <v>#REF!</v>
      </c>
      <c r="BP61" t="e">
        <f>IF(#REF!,"AAAAAHzd8UM=",0)</f>
        <v>#REF!</v>
      </c>
      <c r="BQ61" t="e">
        <f>IF(#REF!,"AAAAAHzd8UQ=",0)</f>
        <v>#REF!</v>
      </c>
      <c r="BR61" t="e">
        <f>IF(#REF!,"AAAAAHzd8UU=",0)</f>
        <v>#REF!</v>
      </c>
      <c r="BS61" t="e">
        <f>IF(#REF!,"AAAAAHzd8UY=",0)</f>
        <v>#REF!</v>
      </c>
      <c r="BT61" t="e">
        <f>IF(#REF!,"AAAAAHzd8Uc=",0)</f>
        <v>#REF!</v>
      </c>
      <c r="BU61" t="e">
        <f>IF(#REF!,"AAAAAHzd8Ug=",0)</f>
        <v>#REF!</v>
      </c>
      <c r="BV61" t="e">
        <f>IF(#REF!,"AAAAAHzd8Uk=",0)</f>
        <v>#REF!</v>
      </c>
      <c r="BW61" t="e">
        <f>AND(#REF!,"AAAAAHzd8Uo=")</f>
        <v>#REF!</v>
      </c>
      <c r="BX61" t="e">
        <f>AND(#REF!,"AAAAAHzd8Us=")</f>
        <v>#REF!</v>
      </c>
      <c r="BY61" t="e">
        <f>AND(#REF!,"AAAAAHzd8Uw=")</f>
        <v>#REF!</v>
      </c>
      <c r="BZ61" t="e">
        <f>AND(#REF!,"AAAAAHzd8U0=")</f>
        <v>#REF!</v>
      </c>
      <c r="CA61" t="e">
        <f>AND(#REF!,"AAAAAHzd8U4=")</f>
        <v>#REF!</v>
      </c>
      <c r="CB61" t="e">
        <f>AND(#REF!,"AAAAAHzd8U8=")</f>
        <v>#REF!</v>
      </c>
      <c r="CC61" t="e">
        <f>AND(#REF!,"AAAAAHzd8VA=")</f>
        <v>#REF!</v>
      </c>
      <c r="CD61" t="e">
        <f>AND(#REF!,"AAAAAHzd8VE=")</f>
        <v>#REF!</v>
      </c>
      <c r="CE61" t="e">
        <f>AND(#REF!,"AAAAAHzd8VI=")</f>
        <v>#REF!</v>
      </c>
      <c r="CF61" t="e">
        <f>AND(#REF!,"AAAAAHzd8VM=")</f>
        <v>#REF!</v>
      </c>
      <c r="CG61" t="e">
        <f>AND(#REF!,"AAAAAHzd8VQ=")</f>
        <v>#REF!</v>
      </c>
      <c r="CH61" t="e">
        <f>AND(#REF!,"AAAAAHzd8VU=")</f>
        <v>#REF!</v>
      </c>
      <c r="CI61" t="e">
        <f>AND(#REF!,"AAAAAHzd8VY=")</f>
        <v>#REF!</v>
      </c>
      <c r="CJ61" t="e">
        <f>AND(#REF!,"AAAAAHzd8Vc=")</f>
        <v>#REF!</v>
      </c>
      <c r="CK61" t="e">
        <f>AND(#REF!,"AAAAAHzd8Vg=")</f>
        <v>#REF!</v>
      </c>
      <c r="CL61" t="e">
        <f>AND(#REF!,"AAAAAHzd8Vk=")</f>
        <v>#REF!</v>
      </c>
      <c r="CM61" t="e">
        <f>AND(#REF!,"AAAAAHzd8Vo=")</f>
        <v>#REF!</v>
      </c>
      <c r="CN61" t="e">
        <f>AND(#REF!,"AAAAAHzd8Vs=")</f>
        <v>#REF!</v>
      </c>
      <c r="CO61" t="e">
        <f>AND(#REF!,"AAAAAHzd8Vw=")</f>
        <v>#REF!</v>
      </c>
      <c r="CP61" t="e">
        <f>AND(#REF!,"AAAAAHzd8V0=")</f>
        <v>#REF!</v>
      </c>
      <c r="CQ61" t="e">
        <f>AND(#REF!,"AAAAAHzd8V4=")</f>
        <v>#REF!</v>
      </c>
      <c r="CR61" t="e">
        <f>AND(#REF!,"AAAAAHzd8V8=")</f>
        <v>#REF!</v>
      </c>
      <c r="CS61" t="e">
        <f>AND(#REF!,"AAAAAHzd8WA=")</f>
        <v>#REF!</v>
      </c>
      <c r="CT61" t="e">
        <f>AND(#REF!,"AAAAAHzd8WE=")</f>
        <v>#REF!</v>
      </c>
      <c r="CU61" t="e">
        <f>AND(#REF!,"AAAAAHzd8WI=")</f>
        <v>#REF!</v>
      </c>
      <c r="CV61" t="e">
        <f>AND(#REF!,"AAAAAHzd8WM=")</f>
        <v>#REF!</v>
      </c>
      <c r="CW61" t="e">
        <f>IF(#REF!,"AAAAAHzd8WQ=",0)</f>
        <v>#REF!</v>
      </c>
      <c r="CX61" t="e">
        <f>AND(#REF!,"AAAAAHzd8WU=")</f>
        <v>#REF!</v>
      </c>
      <c r="CY61" t="e">
        <f>AND(#REF!,"AAAAAHzd8WY=")</f>
        <v>#REF!</v>
      </c>
      <c r="CZ61" t="e">
        <f>AND(#REF!,"AAAAAHzd8Wc=")</f>
        <v>#REF!</v>
      </c>
      <c r="DA61" t="e">
        <f>AND(#REF!,"AAAAAHzd8Wg=")</f>
        <v>#REF!</v>
      </c>
      <c r="DB61" t="e">
        <f>AND(#REF!,"AAAAAHzd8Wk=")</f>
        <v>#REF!</v>
      </c>
      <c r="DC61" t="e">
        <f>AND(#REF!,"AAAAAHzd8Wo=")</f>
        <v>#REF!</v>
      </c>
      <c r="DD61" t="e">
        <f>AND(#REF!,"AAAAAHzd8Ws=")</f>
        <v>#REF!</v>
      </c>
      <c r="DE61" t="e">
        <f>AND(#REF!,"AAAAAHzd8Ww=")</f>
        <v>#REF!</v>
      </c>
      <c r="DF61" t="e">
        <f>AND(#REF!,"AAAAAHzd8W0=")</f>
        <v>#REF!</v>
      </c>
      <c r="DG61" t="e">
        <f>AND(#REF!,"AAAAAHzd8W4=")</f>
        <v>#REF!</v>
      </c>
      <c r="DH61" t="e">
        <f>AND(#REF!,"AAAAAHzd8W8=")</f>
        <v>#REF!</v>
      </c>
      <c r="DI61" t="e">
        <f>AND(#REF!,"AAAAAHzd8XA=")</f>
        <v>#REF!</v>
      </c>
      <c r="DJ61" t="e">
        <f>AND(#REF!,"AAAAAHzd8XE=")</f>
        <v>#REF!</v>
      </c>
      <c r="DK61" t="e">
        <f>AND(#REF!,"AAAAAHzd8XI=")</f>
        <v>#REF!</v>
      </c>
      <c r="DL61" t="e">
        <f>AND(#REF!,"AAAAAHzd8XM=")</f>
        <v>#REF!</v>
      </c>
      <c r="DM61" t="e">
        <f>AND(#REF!,"AAAAAHzd8XQ=")</f>
        <v>#REF!</v>
      </c>
      <c r="DN61" t="e">
        <f>AND(#REF!,"AAAAAHzd8XU=")</f>
        <v>#REF!</v>
      </c>
      <c r="DO61" t="e">
        <f>AND(#REF!,"AAAAAHzd8XY=")</f>
        <v>#REF!</v>
      </c>
      <c r="DP61" t="e">
        <f>AND(#REF!,"AAAAAHzd8Xc=")</f>
        <v>#REF!</v>
      </c>
      <c r="DQ61" t="e">
        <f>AND(#REF!,"AAAAAHzd8Xg=")</f>
        <v>#REF!</v>
      </c>
      <c r="DR61" t="e">
        <f>AND(#REF!,"AAAAAHzd8Xk=")</f>
        <v>#REF!</v>
      </c>
      <c r="DS61" t="e">
        <f>AND(#REF!,"AAAAAHzd8Xo=")</f>
        <v>#REF!</v>
      </c>
      <c r="DT61" t="e">
        <f>AND(#REF!,"AAAAAHzd8Xs=")</f>
        <v>#REF!</v>
      </c>
      <c r="DU61" t="e">
        <f>AND(#REF!,"AAAAAHzd8Xw=")</f>
        <v>#REF!</v>
      </c>
      <c r="DV61" t="e">
        <f>AND(#REF!,"AAAAAHzd8X0=")</f>
        <v>#REF!</v>
      </c>
      <c r="DW61" t="e">
        <f>AND(#REF!,"AAAAAHzd8X4=")</f>
        <v>#REF!</v>
      </c>
      <c r="DX61" t="e">
        <f>IF(#REF!,"AAAAAHzd8X8=",0)</f>
        <v>#REF!</v>
      </c>
      <c r="DY61" t="e">
        <f>AND(#REF!,"AAAAAHzd8YA=")</f>
        <v>#REF!</v>
      </c>
      <c r="DZ61" t="e">
        <f>AND(#REF!,"AAAAAHzd8YE=")</f>
        <v>#REF!</v>
      </c>
      <c r="EA61" t="e">
        <f>AND(#REF!,"AAAAAHzd8YI=")</f>
        <v>#REF!</v>
      </c>
      <c r="EB61" t="e">
        <f>AND(#REF!,"AAAAAHzd8YM=")</f>
        <v>#REF!</v>
      </c>
      <c r="EC61" t="e">
        <f>AND(#REF!,"AAAAAHzd8YQ=")</f>
        <v>#REF!</v>
      </c>
      <c r="ED61" t="e">
        <f>AND(#REF!,"AAAAAHzd8YU=")</f>
        <v>#REF!</v>
      </c>
      <c r="EE61" t="e">
        <f>AND(#REF!,"AAAAAHzd8YY=")</f>
        <v>#REF!</v>
      </c>
      <c r="EF61" t="e">
        <f>AND(#REF!,"AAAAAHzd8Yc=")</f>
        <v>#REF!</v>
      </c>
      <c r="EG61" t="e">
        <f>AND(#REF!,"AAAAAHzd8Yg=")</f>
        <v>#REF!</v>
      </c>
      <c r="EH61" t="e">
        <f>AND(#REF!,"AAAAAHzd8Yk=")</f>
        <v>#REF!</v>
      </c>
      <c r="EI61" t="e">
        <f>AND(#REF!,"AAAAAHzd8Yo=")</f>
        <v>#REF!</v>
      </c>
      <c r="EJ61" t="e">
        <f>AND(#REF!,"AAAAAHzd8Ys=")</f>
        <v>#REF!</v>
      </c>
      <c r="EK61" t="e">
        <f>AND(#REF!,"AAAAAHzd8Yw=")</f>
        <v>#REF!</v>
      </c>
      <c r="EL61" t="e">
        <f>AND(#REF!,"AAAAAHzd8Y0=")</f>
        <v>#REF!</v>
      </c>
      <c r="EM61" t="e">
        <f>AND(#REF!,"AAAAAHzd8Y4=")</f>
        <v>#REF!</v>
      </c>
      <c r="EN61" t="e">
        <f>AND(#REF!,"AAAAAHzd8Y8=")</f>
        <v>#REF!</v>
      </c>
      <c r="EO61" t="e">
        <f>AND(#REF!,"AAAAAHzd8ZA=")</f>
        <v>#REF!</v>
      </c>
      <c r="EP61" t="e">
        <f>AND(#REF!,"AAAAAHzd8ZE=")</f>
        <v>#REF!</v>
      </c>
      <c r="EQ61" t="e">
        <f>AND(#REF!,"AAAAAHzd8ZI=")</f>
        <v>#REF!</v>
      </c>
      <c r="ER61" t="e">
        <f>AND(#REF!,"AAAAAHzd8ZM=")</f>
        <v>#REF!</v>
      </c>
      <c r="ES61" t="e">
        <f>AND(#REF!,"AAAAAHzd8ZQ=")</f>
        <v>#REF!</v>
      </c>
      <c r="ET61" t="e">
        <f>AND(#REF!,"AAAAAHzd8ZU=")</f>
        <v>#REF!</v>
      </c>
      <c r="EU61" t="e">
        <f>AND(#REF!,"AAAAAHzd8ZY=")</f>
        <v>#REF!</v>
      </c>
      <c r="EV61" t="e">
        <f>AND(#REF!,"AAAAAHzd8Zc=")</f>
        <v>#REF!</v>
      </c>
      <c r="EW61" t="e">
        <f>AND(#REF!,"AAAAAHzd8Zg=")</f>
        <v>#REF!</v>
      </c>
      <c r="EX61" t="e">
        <f>AND(#REF!,"AAAAAHzd8Zk=")</f>
        <v>#REF!</v>
      </c>
      <c r="EY61" t="e">
        <f>IF(#REF!,"AAAAAHzd8Zo=",0)</f>
        <v>#REF!</v>
      </c>
      <c r="EZ61" t="e">
        <f>AND(#REF!,"AAAAAHzd8Zs=")</f>
        <v>#REF!</v>
      </c>
      <c r="FA61" t="e">
        <f>AND(#REF!,"AAAAAHzd8Zw=")</f>
        <v>#REF!</v>
      </c>
      <c r="FB61" t="e">
        <f>AND(#REF!,"AAAAAHzd8Z0=")</f>
        <v>#REF!</v>
      </c>
      <c r="FC61" t="e">
        <f>AND(#REF!,"AAAAAHzd8Z4=")</f>
        <v>#REF!</v>
      </c>
      <c r="FD61" t="e">
        <f>AND(#REF!,"AAAAAHzd8Z8=")</f>
        <v>#REF!</v>
      </c>
      <c r="FE61" t="e">
        <f>AND(#REF!,"AAAAAHzd8aA=")</f>
        <v>#REF!</v>
      </c>
      <c r="FF61" t="e">
        <f>AND(#REF!,"AAAAAHzd8aE=")</f>
        <v>#REF!</v>
      </c>
      <c r="FG61" t="e">
        <f>AND(#REF!,"AAAAAHzd8aI=")</f>
        <v>#REF!</v>
      </c>
      <c r="FH61" t="e">
        <f>AND(#REF!,"AAAAAHzd8aM=")</f>
        <v>#REF!</v>
      </c>
      <c r="FI61" t="e">
        <f>AND(#REF!,"AAAAAHzd8aQ=")</f>
        <v>#REF!</v>
      </c>
      <c r="FJ61" t="e">
        <f>AND(#REF!,"AAAAAHzd8aU=")</f>
        <v>#REF!</v>
      </c>
      <c r="FK61" t="e">
        <f>AND(#REF!,"AAAAAHzd8aY=")</f>
        <v>#REF!</v>
      </c>
      <c r="FL61" t="e">
        <f>AND(#REF!,"AAAAAHzd8ac=")</f>
        <v>#REF!</v>
      </c>
      <c r="FM61" t="e">
        <f>AND(#REF!,"AAAAAHzd8ag=")</f>
        <v>#REF!</v>
      </c>
      <c r="FN61" t="e">
        <f>AND(#REF!,"AAAAAHzd8ak=")</f>
        <v>#REF!</v>
      </c>
      <c r="FO61" t="e">
        <f>AND(#REF!,"AAAAAHzd8ao=")</f>
        <v>#REF!</v>
      </c>
      <c r="FP61" t="e">
        <f>AND(#REF!,"AAAAAHzd8as=")</f>
        <v>#REF!</v>
      </c>
      <c r="FQ61" t="e">
        <f>AND(#REF!,"AAAAAHzd8aw=")</f>
        <v>#REF!</v>
      </c>
      <c r="FR61" t="e">
        <f>AND(#REF!,"AAAAAHzd8a0=")</f>
        <v>#REF!</v>
      </c>
      <c r="FS61" t="e">
        <f>AND(#REF!,"AAAAAHzd8a4=")</f>
        <v>#REF!</v>
      </c>
      <c r="FT61" t="e">
        <f>AND(#REF!,"AAAAAHzd8a8=")</f>
        <v>#REF!</v>
      </c>
      <c r="FU61" t="e">
        <f>AND(#REF!,"AAAAAHzd8bA=")</f>
        <v>#REF!</v>
      </c>
      <c r="FV61" t="e">
        <f>AND(#REF!,"AAAAAHzd8bE=")</f>
        <v>#REF!</v>
      </c>
      <c r="FW61" t="e">
        <f>AND(#REF!,"AAAAAHzd8bI=")</f>
        <v>#REF!</v>
      </c>
      <c r="FX61" t="e">
        <f>AND(#REF!,"AAAAAHzd8bM=")</f>
        <v>#REF!</v>
      </c>
      <c r="FY61" t="e">
        <f>AND(#REF!,"AAAAAHzd8bQ=")</f>
        <v>#REF!</v>
      </c>
      <c r="FZ61" t="e">
        <f>IF(#REF!,"AAAAAHzd8bU=",0)</f>
        <v>#REF!</v>
      </c>
      <c r="GA61" t="e">
        <f>AND(#REF!,"AAAAAHzd8bY=")</f>
        <v>#REF!</v>
      </c>
      <c r="GB61" t="e">
        <f>AND(#REF!,"AAAAAHzd8bc=")</f>
        <v>#REF!</v>
      </c>
      <c r="GC61" t="e">
        <f>AND(#REF!,"AAAAAHzd8bg=")</f>
        <v>#REF!</v>
      </c>
      <c r="GD61" t="e">
        <f>AND(#REF!,"AAAAAHzd8bk=")</f>
        <v>#REF!</v>
      </c>
      <c r="GE61" t="e">
        <f>AND(#REF!,"AAAAAHzd8bo=")</f>
        <v>#REF!</v>
      </c>
      <c r="GF61" t="e">
        <f>AND(#REF!,"AAAAAHzd8bs=")</f>
        <v>#REF!</v>
      </c>
      <c r="GG61" t="e">
        <f>AND(#REF!,"AAAAAHzd8bw=")</f>
        <v>#REF!</v>
      </c>
      <c r="GH61" t="e">
        <f>AND(#REF!,"AAAAAHzd8b0=")</f>
        <v>#REF!</v>
      </c>
      <c r="GI61" t="e">
        <f>AND(#REF!,"AAAAAHzd8b4=")</f>
        <v>#REF!</v>
      </c>
      <c r="GJ61" t="e">
        <f>AND(#REF!,"AAAAAHzd8b8=")</f>
        <v>#REF!</v>
      </c>
      <c r="GK61" t="e">
        <f>AND(#REF!,"AAAAAHzd8cA=")</f>
        <v>#REF!</v>
      </c>
      <c r="GL61" t="e">
        <f>AND(#REF!,"AAAAAHzd8cE=")</f>
        <v>#REF!</v>
      </c>
      <c r="GM61" t="e">
        <f>AND(#REF!,"AAAAAHzd8cI=")</f>
        <v>#REF!</v>
      </c>
      <c r="GN61" t="e">
        <f>AND(#REF!,"AAAAAHzd8cM=")</f>
        <v>#REF!</v>
      </c>
      <c r="GO61" t="e">
        <f>AND(#REF!,"AAAAAHzd8cQ=")</f>
        <v>#REF!</v>
      </c>
      <c r="GP61" t="e">
        <f>AND(#REF!,"AAAAAHzd8cU=")</f>
        <v>#REF!</v>
      </c>
      <c r="GQ61" t="e">
        <f>AND(#REF!,"AAAAAHzd8cY=")</f>
        <v>#REF!</v>
      </c>
      <c r="GR61" t="e">
        <f>AND(#REF!,"AAAAAHzd8cc=")</f>
        <v>#REF!</v>
      </c>
      <c r="GS61" t="e">
        <f>AND(#REF!,"AAAAAHzd8cg=")</f>
        <v>#REF!</v>
      </c>
      <c r="GT61" t="e">
        <f>AND(#REF!,"AAAAAHzd8ck=")</f>
        <v>#REF!</v>
      </c>
      <c r="GU61" t="e">
        <f>AND(#REF!,"AAAAAHzd8co=")</f>
        <v>#REF!</v>
      </c>
      <c r="GV61" t="e">
        <f>AND(#REF!,"AAAAAHzd8cs=")</f>
        <v>#REF!</v>
      </c>
      <c r="GW61" t="e">
        <f>AND(#REF!,"AAAAAHzd8cw=")</f>
        <v>#REF!</v>
      </c>
      <c r="GX61" t="e">
        <f>AND(#REF!,"AAAAAHzd8c0=")</f>
        <v>#REF!</v>
      </c>
      <c r="GY61" t="e">
        <f>AND(#REF!,"AAAAAHzd8c4=")</f>
        <v>#REF!</v>
      </c>
      <c r="GZ61" t="e">
        <f>AND(#REF!,"AAAAAHzd8c8=")</f>
        <v>#REF!</v>
      </c>
      <c r="HA61" t="e">
        <f>IF(#REF!,"AAAAAHzd8dA=",0)</f>
        <v>#REF!</v>
      </c>
      <c r="HB61" t="e">
        <f>AND(#REF!,"AAAAAHzd8dE=")</f>
        <v>#REF!</v>
      </c>
      <c r="HC61" t="e">
        <f>AND(#REF!,"AAAAAHzd8dI=")</f>
        <v>#REF!</v>
      </c>
      <c r="HD61" t="e">
        <f>AND(#REF!,"AAAAAHzd8dM=")</f>
        <v>#REF!</v>
      </c>
      <c r="HE61" t="e">
        <f>AND(#REF!,"AAAAAHzd8dQ=")</f>
        <v>#REF!</v>
      </c>
      <c r="HF61" t="e">
        <f>AND(#REF!,"AAAAAHzd8dU=")</f>
        <v>#REF!</v>
      </c>
      <c r="HG61" t="e">
        <f>AND(#REF!,"AAAAAHzd8dY=")</f>
        <v>#REF!</v>
      </c>
      <c r="HH61" t="e">
        <f>AND(#REF!,"AAAAAHzd8dc=")</f>
        <v>#REF!</v>
      </c>
      <c r="HI61" t="e">
        <f>AND(#REF!,"AAAAAHzd8dg=")</f>
        <v>#REF!</v>
      </c>
      <c r="HJ61" t="e">
        <f>AND(#REF!,"AAAAAHzd8dk=")</f>
        <v>#REF!</v>
      </c>
      <c r="HK61" t="e">
        <f>AND(#REF!,"AAAAAHzd8do=")</f>
        <v>#REF!</v>
      </c>
      <c r="HL61" t="e">
        <f>AND(#REF!,"AAAAAHzd8ds=")</f>
        <v>#REF!</v>
      </c>
      <c r="HM61" t="e">
        <f>AND(#REF!,"AAAAAHzd8dw=")</f>
        <v>#REF!</v>
      </c>
      <c r="HN61" t="e">
        <f>AND(#REF!,"AAAAAHzd8d0=")</f>
        <v>#REF!</v>
      </c>
      <c r="HO61" t="e">
        <f>AND(#REF!,"AAAAAHzd8d4=")</f>
        <v>#REF!</v>
      </c>
      <c r="HP61" t="e">
        <f>AND(#REF!,"AAAAAHzd8d8=")</f>
        <v>#REF!</v>
      </c>
      <c r="HQ61" t="e">
        <f>AND(#REF!,"AAAAAHzd8eA=")</f>
        <v>#REF!</v>
      </c>
      <c r="HR61" t="e">
        <f>AND(#REF!,"AAAAAHzd8eE=")</f>
        <v>#REF!</v>
      </c>
      <c r="HS61" t="e">
        <f>AND(#REF!,"AAAAAHzd8eI=")</f>
        <v>#REF!</v>
      </c>
      <c r="HT61" t="e">
        <f>AND(#REF!,"AAAAAHzd8eM=")</f>
        <v>#REF!</v>
      </c>
      <c r="HU61" t="e">
        <f>AND(#REF!,"AAAAAHzd8eQ=")</f>
        <v>#REF!</v>
      </c>
      <c r="HV61" t="e">
        <f>AND(#REF!,"AAAAAHzd8eU=")</f>
        <v>#REF!</v>
      </c>
      <c r="HW61" t="e">
        <f>AND(#REF!,"AAAAAHzd8eY=")</f>
        <v>#REF!</v>
      </c>
      <c r="HX61" t="e">
        <f>AND(#REF!,"AAAAAHzd8ec=")</f>
        <v>#REF!</v>
      </c>
      <c r="HY61" t="e">
        <f>AND(#REF!,"AAAAAHzd8eg=")</f>
        <v>#REF!</v>
      </c>
      <c r="HZ61" t="e">
        <f>AND(#REF!,"AAAAAHzd8ek=")</f>
        <v>#REF!</v>
      </c>
      <c r="IA61" t="e">
        <f>AND(#REF!,"AAAAAHzd8eo=")</f>
        <v>#REF!</v>
      </c>
      <c r="IB61" t="e">
        <f>IF(#REF!,"AAAAAHzd8es=",0)</f>
        <v>#REF!</v>
      </c>
      <c r="IC61" t="e">
        <f>AND(#REF!,"AAAAAHzd8ew=")</f>
        <v>#REF!</v>
      </c>
      <c r="ID61" t="e">
        <f>AND(#REF!,"AAAAAHzd8e0=")</f>
        <v>#REF!</v>
      </c>
      <c r="IE61" t="e">
        <f>AND(#REF!,"AAAAAHzd8e4=")</f>
        <v>#REF!</v>
      </c>
      <c r="IF61" t="e">
        <f>AND(#REF!,"AAAAAHzd8e8=")</f>
        <v>#REF!</v>
      </c>
      <c r="IG61" t="e">
        <f>AND(#REF!,"AAAAAHzd8fA=")</f>
        <v>#REF!</v>
      </c>
      <c r="IH61" t="e">
        <f>AND(#REF!,"AAAAAHzd8fE=")</f>
        <v>#REF!</v>
      </c>
      <c r="II61" t="e">
        <f>AND(#REF!,"AAAAAHzd8fI=")</f>
        <v>#REF!</v>
      </c>
      <c r="IJ61" t="e">
        <f>AND(#REF!,"AAAAAHzd8fM=")</f>
        <v>#REF!</v>
      </c>
      <c r="IK61" t="e">
        <f>AND(#REF!,"AAAAAHzd8fQ=")</f>
        <v>#REF!</v>
      </c>
      <c r="IL61" t="e">
        <f>AND(#REF!,"AAAAAHzd8fU=")</f>
        <v>#REF!</v>
      </c>
      <c r="IM61" t="e">
        <f>AND(#REF!,"AAAAAHzd8fY=")</f>
        <v>#REF!</v>
      </c>
      <c r="IN61" t="e">
        <f>AND(#REF!,"AAAAAHzd8fc=")</f>
        <v>#REF!</v>
      </c>
      <c r="IO61" t="e">
        <f>AND(#REF!,"AAAAAHzd8fg=")</f>
        <v>#REF!</v>
      </c>
      <c r="IP61" t="e">
        <f>AND(#REF!,"AAAAAHzd8fk=")</f>
        <v>#REF!</v>
      </c>
      <c r="IQ61" t="e">
        <f>AND(#REF!,"AAAAAHzd8fo=")</f>
        <v>#REF!</v>
      </c>
      <c r="IR61" t="e">
        <f>AND(#REF!,"AAAAAHzd8fs=")</f>
        <v>#REF!</v>
      </c>
      <c r="IS61" t="e">
        <f>AND(#REF!,"AAAAAHzd8fw=")</f>
        <v>#REF!</v>
      </c>
      <c r="IT61" t="e">
        <f>AND(#REF!,"AAAAAHzd8f0=")</f>
        <v>#REF!</v>
      </c>
      <c r="IU61" t="e">
        <f>AND(#REF!,"AAAAAHzd8f4=")</f>
        <v>#REF!</v>
      </c>
      <c r="IV61" t="e">
        <f>AND(#REF!,"AAAAAHzd8f8=")</f>
        <v>#REF!</v>
      </c>
    </row>
    <row r="62" spans="1:256" x14ac:dyDescent="0.2">
      <c r="A62" t="e">
        <f>AND(#REF!,"AAAAAC/ucwA=")</f>
        <v>#REF!</v>
      </c>
      <c r="B62" t="e">
        <f>AND(#REF!,"AAAAAC/ucwE=")</f>
        <v>#REF!</v>
      </c>
      <c r="C62" t="e">
        <f>AND(#REF!,"AAAAAC/ucwI=")</f>
        <v>#REF!</v>
      </c>
      <c r="D62" t="e">
        <f>AND(#REF!,"AAAAAC/ucwM=")</f>
        <v>#REF!</v>
      </c>
      <c r="E62" t="e">
        <f>AND(#REF!,"AAAAAC/ucwQ=")</f>
        <v>#REF!</v>
      </c>
      <c r="F62" t="e">
        <f>AND(#REF!,"AAAAAC/ucwU=")</f>
        <v>#REF!</v>
      </c>
      <c r="G62" t="e">
        <f>IF(#REF!,"AAAAAC/ucwY=",0)</f>
        <v>#REF!</v>
      </c>
      <c r="H62" t="e">
        <f>AND(#REF!,"AAAAAC/ucwc=")</f>
        <v>#REF!</v>
      </c>
      <c r="I62" t="e">
        <f>AND(#REF!,"AAAAAC/ucwg=")</f>
        <v>#REF!</v>
      </c>
      <c r="J62" t="e">
        <f>AND(#REF!,"AAAAAC/ucwk=")</f>
        <v>#REF!</v>
      </c>
      <c r="K62" t="e">
        <f>AND(#REF!,"AAAAAC/ucwo=")</f>
        <v>#REF!</v>
      </c>
      <c r="L62" t="e">
        <f>AND(#REF!,"AAAAAC/ucws=")</f>
        <v>#REF!</v>
      </c>
      <c r="M62" t="e">
        <f>AND(#REF!,"AAAAAC/ucww=")</f>
        <v>#REF!</v>
      </c>
      <c r="N62" t="e">
        <f>AND(#REF!,"AAAAAC/ucw0=")</f>
        <v>#REF!</v>
      </c>
      <c r="O62" t="e">
        <f>AND(#REF!,"AAAAAC/ucw4=")</f>
        <v>#REF!</v>
      </c>
      <c r="P62" t="e">
        <f>AND(#REF!,"AAAAAC/ucw8=")</f>
        <v>#REF!</v>
      </c>
      <c r="Q62" t="e">
        <f>AND(#REF!,"AAAAAC/ucxA=")</f>
        <v>#REF!</v>
      </c>
      <c r="R62" t="e">
        <f>AND(#REF!,"AAAAAC/ucxE=")</f>
        <v>#REF!</v>
      </c>
      <c r="S62" t="e">
        <f>AND(#REF!,"AAAAAC/ucxI=")</f>
        <v>#REF!</v>
      </c>
      <c r="T62" t="e">
        <f>AND(#REF!,"AAAAAC/ucxM=")</f>
        <v>#REF!</v>
      </c>
      <c r="U62" t="e">
        <f>AND(#REF!,"AAAAAC/ucxQ=")</f>
        <v>#REF!</v>
      </c>
      <c r="V62" t="e">
        <f>AND(#REF!,"AAAAAC/ucxU=")</f>
        <v>#REF!</v>
      </c>
      <c r="W62" t="e">
        <f>AND(#REF!,"AAAAAC/ucxY=")</f>
        <v>#REF!</v>
      </c>
      <c r="X62" t="e">
        <f>AND(#REF!,"AAAAAC/ucxc=")</f>
        <v>#REF!</v>
      </c>
      <c r="Y62" t="e">
        <f>AND(#REF!,"AAAAAC/ucxg=")</f>
        <v>#REF!</v>
      </c>
      <c r="Z62" t="e">
        <f>AND(#REF!,"AAAAAC/ucxk=")</f>
        <v>#REF!</v>
      </c>
      <c r="AA62" t="e">
        <f>AND(#REF!,"AAAAAC/ucxo=")</f>
        <v>#REF!</v>
      </c>
      <c r="AB62" t="e">
        <f>AND(#REF!,"AAAAAC/ucxs=")</f>
        <v>#REF!</v>
      </c>
      <c r="AC62" t="e">
        <f>AND(#REF!,"AAAAAC/ucxw=")</f>
        <v>#REF!</v>
      </c>
      <c r="AD62" t="e">
        <f>AND(#REF!,"AAAAAC/ucx0=")</f>
        <v>#REF!</v>
      </c>
      <c r="AE62" t="e">
        <f>AND(#REF!,"AAAAAC/ucx4=")</f>
        <v>#REF!</v>
      </c>
      <c r="AF62" t="e">
        <f>AND(#REF!,"AAAAAC/ucx8=")</f>
        <v>#REF!</v>
      </c>
      <c r="AG62" t="e">
        <f>AND(#REF!,"AAAAAC/ucyA=")</f>
        <v>#REF!</v>
      </c>
      <c r="AH62" t="e">
        <f>IF(#REF!,"AAAAAC/ucyE=",0)</f>
        <v>#REF!</v>
      </c>
      <c r="AI62" t="e">
        <f>AND(#REF!,"AAAAAC/ucyI=")</f>
        <v>#REF!</v>
      </c>
      <c r="AJ62" t="e">
        <f>AND(#REF!,"AAAAAC/ucyM=")</f>
        <v>#REF!</v>
      </c>
      <c r="AK62" t="e">
        <f>AND(#REF!,"AAAAAC/ucyQ=")</f>
        <v>#REF!</v>
      </c>
      <c r="AL62" t="e">
        <f>AND(#REF!,"AAAAAC/ucyU=")</f>
        <v>#REF!</v>
      </c>
      <c r="AM62" t="e">
        <f>AND(#REF!,"AAAAAC/ucyY=")</f>
        <v>#REF!</v>
      </c>
      <c r="AN62" t="e">
        <f>AND(#REF!,"AAAAAC/ucyc=")</f>
        <v>#REF!</v>
      </c>
      <c r="AO62" t="e">
        <f>AND(#REF!,"AAAAAC/ucyg=")</f>
        <v>#REF!</v>
      </c>
      <c r="AP62" t="e">
        <f>AND(#REF!,"AAAAAC/ucyk=")</f>
        <v>#REF!</v>
      </c>
      <c r="AQ62" t="e">
        <f>AND(#REF!,"AAAAAC/ucyo=")</f>
        <v>#REF!</v>
      </c>
      <c r="AR62" t="e">
        <f>AND(#REF!,"AAAAAC/ucys=")</f>
        <v>#REF!</v>
      </c>
      <c r="AS62" t="e">
        <f>AND(#REF!,"AAAAAC/ucyw=")</f>
        <v>#REF!</v>
      </c>
      <c r="AT62" t="e">
        <f>AND(#REF!,"AAAAAC/ucy0=")</f>
        <v>#REF!</v>
      </c>
      <c r="AU62" t="e">
        <f>AND(#REF!,"AAAAAC/ucy4=")</f>
        <v>#REF!</v>
      </c>
      <c r="AV62" t="e">
        <f>AND(#REF!,"AAAAAC/ucy8=")</f>
        <v>#REF!</v>
      </c>
      <c r="AW62" t="e">
        <f>AND(#REF!,"AAAAAC/uczA=")</f>
        <v>#REF!</v>
      </c>
      <c r="AX62" t="e">
        <f>AND(#REF!,"AAAAAC/uczE=")</f>
        <v>#REF!</v>
      </c>
      <c r="AY62" t="e">
        <f>AND(#REF!,"AAAAAC/uczI=")</f>
        <v>#REF!</v>
      </c>
      <c r="AZ62" t="e">
        <f>AND(#REF!,"AAAAAC/uczM=")</f>
        <v>#REF!</v>
      </c>
      <c r="BA62" t="e">
        <f>AND(#REF!,"AAAAAC/uczQ=")</f>
        <v>#REF!</v>
      </c>
      <c r="BB62" t="e">
        <f>AND(#REF!,"AAAAAC/uczU=")</f>
        <v>#REF!</v>
      </c>
      <c r="BC62" t="e">
        <f>AND(#REF!,"AAAAAC/uczY=")</f>
        <v>#REF!</v>
      </c>
      <c r="BD62" t="e">
        <f>AND(#REF!,"AAAAAC/uczc=")</f>
        <v>#REF!</v>
      </c>
      <c r="BE62" t="e">
        <f>AND(#REF!,"AAAAAC/uczg=")</f>
        <v>#REF!</v>
      </c>
      <c r="BF62" t="e">
        <f>AND(#REF!,"AAAAAC/uczk=")</f>
        <v>#REF!</v>
      </c>
      <c r="BG62" t="e">
        <f>AND(#REF!,"AAAAAC/uczo=")</f>
        <v>#REF!</v>
      </c>
      <c r="BH62" t="e">
        <f>AND(#REF!,"AAAAAC/uczs=")</f>
        <v>#REF!</v>
      </c>
      <c r="BI62" t="e">
        <f>IF(#REF!,"AAAAAC/uczw=",0)</f>
        <v>#REF!</v>
      </c>
      <c r="BJ62" t="e">
        <f>AND(#REF!,"AAAAAC/ucz0=")</f>
        <v>#REF!</v>
      </c>
      <c r="BK62" t="e">
        <f>AND(#REF!,"AAAAAC/ucz4=")</f>
        <v>#REF!</v>
      </c>
      <c r="BL62" t="e">
        <f>AND(#REF!,"AAAAAC/ucz8=")</f>
        <v>#REF!</v>
      </c>
      <c r="BM62" t="e">
        <f>AND(#REF!,"AAAAAC/uc0A=")</f>
        <v>#REF!</v>
      </c>
      <c r="BN62" t="e">
        <f>AND(#REF!,"AAAAAC/uc0E=")</f>
        <v>#REF!</v>
      </c>
      <c r="BO62" t="e">
        <f>AND(#REF!,"AAAAAC/uc0I=")</f>
        <v>#REF!</v>
      </c>
      <c r="BP62" t="e">
        <f>AND(#REF!,"AAAAAC/uc0M=")</f>
        <v>#REF!</v>
      </c>
      <c r="BQ62" t="e">
        <f>AND(#REF!,"AAAAAC/uc0Q=")</f>
        <v>#REF!</v>
      </c>
      <c r="BR62" t="e">
        <f>AND(#REF!,"AAAAAC/uc0U=")</f>
        <v>#REF!</v>
      </c>
      <c r="BS62" t="e">
        <f>AND(#REF!,"AAAAAC/uc0Y=")</f>
        <v>#REF!</v>
      </c>
      <c r="BT62" t="e">
        <f>AND(#REF!,"AAAAAC/uc0c=")</f>
        <v>#REF!</v>
      </c>
      <c r="BU62" t="e">
        <f>AND(#REF!,"AAAAAC/uc0g=")</f>
        <v>#REF!</v>
      </c>
      <c r="BV62" t="e">
        <f>AND(#REF!,"AAAAAC/uc0k=")</f>
        <v>#REF!</v>
      </c>
      <c r="BW62" t="e">
        <f>AND(#REF!,"AAAAAC/uc0o=")</f>
        <v>#REF!</v>
      </c>
      <c r="BX62" t="e">
        <f>AND(#REF!,"AAAAAC/uc0s=")</f>
        <v>#REF!</v>
      </c>
      <c r="BY62" t="e">
        <f>AND(#REF!,"AAAAAC/uc0w=")</f>
        <v>#REF!</v>
      </c>
      <c r="BZ62" t="e">
        <f>AND(#REF!,"AAAAAC/uc00=")</f>
        <v>#REF!</v>
      </c>
      <c r="CA62" t="e">
        <f>AND(#REF!,"AAAAAC/uc04=")</f>
        <v>#REF!</v>
      </c>
      <c r="CB62" t="e">
        <f>AND(#REF!,"AAAAAC/uc08=")</f>
        <v>#REF!</v>
      </c>
      <c r="CC62" t="e">
        <f>AND(#REF!,"AAAAAC/uc1A=")</f>
        <v>#REF!</v>
      </c>
      <c r="CD62" t="e">
        <f>AND(#REF!,"AAAAAC/uc1E=")</f>
        <v>#REF!</v>
      </c>
      <c r="CE62" t="e">
        <f>AND(#REF!,"AAAAAC/uc1I=")</f>
        <v>#REF!</v>
      </c>
      <c r="CF62" t="e">
        <f>AND(#REF!,"AAAAAC/uc1M=")</f>
        <v>#REF!</v>
      </c>
      <c r="CG62" t="e">
        <f>AND(#REF!,"AAAAAC/uc1Q=")</f>
        <v>#REF!</v>
      </c>
      <c r="CH62" t="e">
        <f>AND(#REF!,"AAAAAC/uc1U=")</f>
        <v>#REF!</v>
      </c>
      <c r="CI62" t="e">
        <f>AND(#REF!,"AAAAAC/uc1Y=")</f>
        <v>#REF!</v>
      </c>
      <c r="CJ62" t="e">
        <f>IF(#REF!,"AAAAAC/uc1c=",0)</f>
        <v>#REF!</v>
      </c>
      <c r="CK62" t="e">
        <f>AND(#REF!,"AAAAAC/uc1g=")</f>
        <v>#REF!</v>
      </c>
      <c r="CL62" t="e">
        <f>AND(#REF!,"AAAAAC/uc1k=")</f>
        <v>#REF!</v>
      </c>
      <c r="CM62" t="e">
        <f>AND(#REF!,"AAAAAC/uc1o=")</f>
        <v>#REF!</v>
      </c>
      <c r="CN62" t="e">
        <f>AND(#REF!,"AAAAAC/uc1s=")</f>
        <v>#REF!</v>
      </c>
      <c r="CO62" t="e">
        <f>AND(#REF!,"AAAAAC/uc1w=")</f>
        <v>#REF!</v>
      </c>
      <c r="CP62" t="e">
        <f>AND(#REF!,"AAAAAC/uc10=")</f>
        <v>#REF!</v>
      </c>
      <c r="CQ62" t="e">
        <f>AND(#REF!,"AAAAAC/uc14=")</f>
        <v>#REF!</v>
      </c>
      <c r="CR62" t="e">
        <f>AND(#REF!,"AAAAAC/uc18=")</f>
        <v>#REF!</v>
      </c>
      <c r="CS62" t="e">
        <f>AND(#REF!,"AAAAAC/uc2A=")</f>
        <v>#REF!</v>
      </c>
      <c r="CT62" t="e">
        <f>AND(#REF!,"AAAAAC/uc2E=")</f>
        <v>#REF!</v>
      </c>
      <c r="CU62" t="e">
        <f>AND(#REF!,"AAAAAC/uc2I=")</f>
        <v>#REF!</v>
      </c>
      <c r="CV62" t="e">
        <f>AND(#REF!,"AAAAAC/uc2M=")</f>
        <v>#REF!</v>
      </c>
      <c r="CW62" t="e">
        <f>AND(#REF!,"AAAAAC/uc2Q=")</f>
        <v>#REF!</v>
      </c>
      <c r="CX62" t="e">
        <f>AND(#REF!,"AAAAAC/uc2U=")</f>
        <v>#REF!</v>
      </c>
      <c r="CY62" t="e">
        <f>AND(#REF!,"AAAAAC/uc2Y=")</f>
        <v>#REF!</v>
      </c>
      <c r="CZ62" t="e">
        <f>AND(#REF!,"AAAAAC/uc2c=")</f>
        <v>#REF!</v>
      </c>
      <c r="DA62" t="e">
        <f>AND(#REF!,"AAAAAC/uc2g=")</f>
        <v>#REF!</v>
      </c>
      <c r="DB62" t="e">
        <f>AND(#REF!,"AAAAAC/uc2k=")</f>
        <v>#REF!</v>
      </c>
      <c r="DC62" t="e">
        <f>AND(#REF!,"AAAAAC/uc2o=")</f>
        <v>#REF!</v>
      </c>
      <c r="DD62" t="e">
        <f>AND(#REF!,"AAAAAC/uc2s=")</f>
        <v>#REF!</v>
      </c>
      <c r="DE62" t="e">
        <f>AND(#REF!,"AAAAAC/uc2w=")</f>
        <v>#REF!</v>
      </c>
      <c r="DF62" t="e">
        <f>AND(#REF!,"AAAAAC/uc20=")</f>
        <v>#REF!</v>
      </c>
      <c r="DG62" t="e">
        <f>AND(#REF!,"AAAAAC/uc24=")</f>
        <v>#REF!</v>
      </c>
      <c r="DH62" t="e">
        <f>AND(#REF!,"AAAAAC/uc28=")</f>
        <v>#REF!</v>
      </c>
      <c r="DI62" t="e">
        <f>AND(#REF!,"AAAAAC/uc3A=")</f>
        <v>#REF!</v>
      </c>
      <c r="DJ62" t="e">
        <f>AND(#REF!,"AAAAAC/uc3E=")</f>
        <v>#REF!</v>
      </c>
      <c r="DK62" t="e">
        <f>IF(#REF!,"AAAAAC/uc3I=",0)</f>
        <v>#REF!</v>
      </c>
      <c r="DL62" t="e">
        <f>AND(#REF!,"AAAAAC/uc3M=")</f>
        <v>#REF!</v>
      </c>
      <c r="DM62" t="e">
        <f>AND(#REF!,"AAAAAC/uc3Q=")</f>
        <v>#REF!</v>
      </c>
      <c r="DN62" t="e">
        <f>AND(#REF!,"AAAAAC/uc3U=")</f>
        <v>#REF!</v>
      </c>
      <c r="DO62" t="e">
        <f>AND(#REF!,"AAAAAC/uc3Y=")</f>
        <v>#REF!</v>
      </c>
      <c r="DP62" t="e">
        <f>AND(#REF!,"AAAAAC/uc3c=")</f>
        <v>#REF!</v>
      </c>
      <c r="DQ62" t="e">
        <f>AND(#REF!,"AAAAAC/uc3g=")</f>
        <v>#REF!</v>
      </c>
      <c r="DR62" t="e">
        <f>AND(#REF!,"AAAAAC/uc3k=")</f>
        <v>#REF!</v>
      </c>
      <c r="DS62" t="e">
        <f>AND(#REF!,"AAAAAC/uc3o=")</f>
        <v>#REF!</v>
      </c>
      <c r="DT62" t="e">
        <f>AND(#REF!,"AAAAAC/uc3s=")</f>
        <v>#REF!</v>
      </c>
      <c r="DU62" t="e">
        <f>AND(#REF!,"AAAAAC/uc3w=")</f>
        <v>#REF!</v>
      </c>
      <c r="DV62" t="e">
        <f>AND(#REF!,"AAAAAC/uc30=")</f>
        <v>#REF!</v>
      </c>
      <c r="DW62" t="e">
        <f>AND(#REF!,"AAAAAC/uc34=")</f>
        <v>#REF!</v>
      </c>
      <c r="DX62" t="e">
        <f>AND(#REF!,"AAAAAC/uc38=")</f>
        <v>#REF!</v>
      </c>
      <c r="DY62" t="e">
        <f>AND(#REF!,"AAAAAC/uc4A=")</f>
        <v>#REF!</v>
      </c>
      <c r="DZ62" t="e">
        <f>AND(#REF!,"AAAAAC/uc4E=")</f>
        <v>#REF!</v>
      </c>
      <c r="EA62" t="e">
        <f>AND(#REF!,"AAAAAC/uc4I=")</f>
        <v>#REF!</v>
      </c>
      <c r="EB62" t="e">
        <f>AND(#REF!,"AAAAAC/uc4M=")</f>
        <v>#REF!</v>
      </c>
      <c r="EC62" t="e">
        <f>AND(#REF!,"AAAAAC/uc4Q=")</f>
        <v>#REF!</v>
      </c>
      <c r="ED62" t="e">
        <f>AND(#REF!,"AAAAAC/uc4U=")</f>
        <v>#REF!</v>
      </c>
      <c r="EE62" t="e">
        <f>AND(#REF!,"AAAAAC/uc4Y=")</f>
        <v>#REF!</v>
      </c>
      <c r="EF62" t="e">
        <f>AND(#REF!,"AAAAAC/uc4c=")</f>
        <v>#REF!</v>
      </c>
      <c r="EG62" t="e">
        <f>AND(#REF!,"AAAAAC/uc4g=")</f>
        <v>#REF!</v>
      </c>
      <c r="EH62" t="e">
        <f>AND(#REF!,"AAAAAC/uc4k=")</f>
        <v>#REF!</v>
      </c>
      <c r="EI62" t="e">
        <f>AND(#REF!,"AAAAAC/uc4o=")</f>
        <v>#REF!</v>
      </c>
      <c r="EJ62" t="e">
        <f>AND(#REF!,"AAAAAC/uc4s=")</f>
        <v>#REF!</v>
      </c>
      <c r="EK62" t="e">
        <f>AND(#REF!,"AAAAAC/uc4w=")</f>
        <v>#REF!</v>
      </c>
      <c r="EL62" t="e">
        <f>IF(#REF!,"AAAAAC/uc40=",0)</f>
        <v>#REF!</v>
      </c>
      <c r="EM62" t="e">
        <f>AND(#REF!,"AAAAAC/uc44=")</f>
        <v>#REF!</v>
      </c>
      <c r="EN62" t="e">
        <f>AND(#REF!,"AAAAAC/uc48=")</f>
        <v>#REF!</v>
      </c>
      <c r="EO62" t="e">
        <f>AND(#REF!,"AAAAAC/uc5A=")</f>
        <v>#REF!</v>
      </c>
      <c r="EP62" t="e">
        <f>AND(#REF!,"AAAAAC/uc5E=")</f>
        <v>#REF!</v>
      </c>
      <c r="EQ62" t="e">
        <f>AND(#REF!,"AAAAAC/uc5I=")</f>
        <v>#REF!</v>
      </c>
      <c r="ER62" t="e">
        <f>AND(#REF!,"AAAAAC/uc5M=")</f>
        <v>#REF!</v>
      </c>
      <c r="ES62" t="e">
        <f>AND(#REF!,"AAAAAC/uc5Q=")</f>
        <v>#REF!</v>
      </c>
      <c r="ET62" t="e">
        <f>AND(#REF!,"AAAAAC/uc5U=")</f>
        <v>#REF!</v>
      </c>
      <c r="EU62" t="e">
        <f>AND(#REF!,"AAAAAC/uc5Y=")</f>
        <v>#REF!</v>
      </c>
      <c r="EV62" t="e">
        <f>AND(#REF!,"AAAAAC/uc5c=")</f>
        <v>#REF!</v>
      </c>
      <c r="EW62" t="e">
        <f>AND(#REF!,"AAAAAC/uc5g=")</f>
        <v>#REF!</v>
      </c>
      <c r="EX62" t="e">
        <f>AND(#REF!,"AAAAAC/uc5k=")</f>
        <v>#REF!</v>
      </c>
      <c r="EY62" t="e">
        <f>AND(#REF!,"AAAAAC/uc5o=")</f>
        <v>#REF!</v>
      </c>
      <c r="EZ62" t="e">
        <f>AND(#REF!,"AAAAAC/uc5s=")</f>
        <v>#REF!</v>
      </c>
      <c r="FA62" t="e">
        <f>AND(#REF!,"AAAAAC/uc5w=")</f>
        <v>#REF!</v>
      </c>
      <c r="FB62" t="e">
        <f>AND(#REF!,"AAAAAC/uc50=")</f>
        <v>#REF!</v>
      </c>
      <c r="FC62" t="e">
        <f>AND(#REF!,"AAAAAC/uc54=")</f>
        <v>#REF!</v>
      </c>
      <c r="FD62" t="e">
        <f>AND(#REF!,"AAAAAC/uc58=")</f>
        <v>#REF!</v>
      </c>
      <c r="FE62" t="e">
        <f>AND(#REF!,"AAAAAC/uc6A=")</f>
        <v>#REF!</v>
      </c>
      <c r="FF62" t="e">
        <f>AND(#REF!,"AAAAAC/uc6E=")</f>
        <v>#REF!</v>
      </c>
      <c r="FG62" t="e">
        <f>AND(#REF!,"AAAAAC/uc6I=")</f>
        <v>#REF!</v>
      </c>
      <c r="FH62" t="e">
        <f>AND(#REF!,"AAAAAC/uc6M=")</f>
        <v>#REF!</v>
      </c>
      <c r="FI62" t="e">
        <f>AND(#REF!,"AAAAAC/uc6Q=")</f>
        <v>#REF!</v>
      </c>
      <c r="FJ62" t="e">
        <f>AND(#REF!,"AAAAAC/uc6U=")</f>
        <v>#REF!</v>
      </c>
      <c r="FK62" t="e">
        <f>AND(#REF!,"AAAAAC/uc6Y=")</f>
        <v>#REF!</v>
      </c>
      <c r="FL62" t="e">
        <f>AND(#REF!,"AAAAAC/uc6c=")</f>
        <v>#REF!</v>
      </c>
      <c r="FM62" t="e">
        <f>IF(#REF!,"AAAAAC/uc6g=",0)</f>
        <v>#REF!</v>
      </c>
      <c r="FN62" t="e">
        <f>AND(#REF!,"AAAAAC/uc6k=")</f>
        <v>#REF!</v>
      </c>
      <c r="FO62" t="e">
        <f>AND(#REF!,"AAAAAC/uc6o=")</f>
        <v>#REF!</v>
      </c>
      <c r="FP62" t="e">
        <f>AND(#REF!,"AAAAAC/uc6s=")</f>
        <v>#REF!</v>
      </c>
      <c r="FQ62" t="e">
        <f>AND(#REF!,"AAAAAC/uc6w=")</f>
        <v>#REF!</v>
      </c>
      <c r="FR62" t="e">
        <f>AND(#REF!,"AAAAAC/uc60=")</f>
        <v>#REF!</v>
      </c>
      <c r="FS62" t="e">
        <f>AND(#REF!,"AAAAAC/uc64=")</f>
        <v>#REF!</v>
      </c>
      <c r="FT62" t="e">
        <f>AND(#REF!,"AAAAAC/uc68=")</f>
        <v>#REF!</v>
      </c>
      <c r="FU62" t="e">
        <f>AND(#REF!,"AAAAAC/uc7A=")</f>
        <v>#REF!</v>
      </c>
      <c r="FV62" t="e">
        <f>AND(#REF!,"AAAAAC/uc7E=")</f>
        <v>#REF!</v>
      </c>
      <c r="FW62" t="e">
        <f>AND(#REF!,"AAAAAC/uc7I=")</f>
        <v>#REF!</v>
      </c>
      <c r="FX62" t="e">
        <f>AND(#REF!,"AAAAAC/uc7M=")</f>
        <v>#REF!</v>
      </c>
      <c r="FY62" t="e">
        <f>AND(#REF!,"AAAAAC/uc7Q=")</f>
        <v>#REF!</v>
      </c>
      <c r="FZ62" t="e">
        <f>AND(#REF!,"AAAAAC/uc7U=")</f>
        <v>#REF!</v>
      </c>
      <c r="GA62" t="e">
        <f>AND(#REF!,"AAAAAC/uc7Y=")</f>
        <v>#REF!</v>
      </c>
      <c r="GB62" t="e">
        <f>AND(#REF!,"AAAAAC/uc7c=")</f>
        <v>#REF!</v>
      </c>
      <c r="GC62" t="e">
        <f>AND(#REF!,"AAAAAC/uc7g=")</f>
        <v>#REF!</v>
      </c>
      <c r="GD62" t="e">
        <f>AND(#REF!,"AAAAAC/uc7k=")</f>
        <v>#REF!</v>
      </c>
      <c r="GE62" t="e">
        <f>AND(#REF!,"AAAAAC/uc7o=")</f>
        <v>#REF!</v>
      </c>
      <c r="GF62" t="e">
        <f>AND(#REF!,"AAAAAC/uc7s=")</f>
        <v>#REF!</v>
      </c>
      <c r="GG62" t="e">
        <f>AND(#REF!,"AAAAAC/uc7w=")</f>
        <v>#REF!</v>
      </c>
      <c r="GH62" t="e">
        <f>AND(#REF!,"AAAAAC/uc70=")</f>
        <v>#REF!</v>
      </c>
      <c r="GI62" t="e">
        <f>AND(#REF!,"AAAAAC/uc74=")</f>
        <v>#REF!</v>
      </c>
      <c r="GJ62" t="e">
        <f>AND(#REF!,"AAAAAC/uc78=")</f>
        <v>#REF!</v>
      </c>
      <c r="GK62" t="e">
        <f>AND(#REF!,"AAAAAC/uc8A=")</f>
        <v>#REF!</v>
      </c>
      <c r="GL62" t="e">
        <f>AND(#REF!,"AAAAAC/uc8E=")</f>
        <v>#REF!</v>
      </c>
      <c r="GM62" t="e">
        <f>AND(#REF!,"AAAAAC/uc8I=")</f>
        <v>#REF!</v>
      </c>
      <c r="GN62" t="e">
        <f>IF(#REF!,"AAAAAC/uc8M=",0)</f>
        <v>#REF!</v>
      </c>
      <c r="GO62" t="e">
        <f>AND(#REF!,"AAAAAC/uc8Q=")</f>
        <v>#REF!</v>
      </c>
      <c r="GP62" t="e">
        <f>AND(#REF!,"AAAAAC/uc8U=")</f>
        <v>#REF!</v>
      </c>
      <c r="GQ62" t="e">
        <f>AND(#REF!,"AAAAAC/uc8Y=")</f>
        <v>#REF!</v>
      </c>
      <c r="GR62" t="e">
        <f>AND(#REF!,"AAAAAC/uc8c=")</f>
        <v>#REF!</v>
      </c>
      <c r="GS62" t="e">
        <f>AND(#REF!,"AAAAAC/uc8g=")</f>
        <v>#REF!</v>
      </c>
      <c r="GT62" t="e">
        <f>AND(#REF!,"AAAAAC/uc8k=")</f>
        <v>#REF!</v>
      </c>
      <c r="GU62" t="e">
        <f>AND(#REF!,"AAAAAC/uc8o=")</f>
        <v>#REF!</v>
      </c>
      <c r="GV62" t="e">
        <f>AND(#REF!,"AAAAAC/uc8s=")</f>
        <v>#REF!</v>
      </c>
      <c r="GW62" t="e">
        <f>AND(#REF!,"AAAAAC/uc8w=")</f>
        <v>#REF!</v>
      </c>
      <c r="GX62" t="e">
        <f>AND(#REF!,"AAAAAC/uc80=")</f>
        <v>#REF!</v>
      </c>
      <c r="GY62" t="e">
        <f>AND(#REF!,"AAAAAC/uc84=")</f>
        <v>#REF!</v>
      </c>
      <c r="GZ62" t="e">
        <f>AND(#REF!,"AAAAAC/uc88=")</f>
        <v>#REF!</v>
      </c>
      <c r="HA62" t="e">
        <f>AND(#REF!,"AAAAAC/uc9A=")</f>
        <v>#REF!</v>
      </c>
      <c r="HB62" t="e">
        <f>AND(#REF!,"AAAAAC/uc9E=")</f>
        <v>#REF!</v>
      </c>
      <c r="HC62" t="e">
        <f>AND(#REF!,"AAAAAC/uc9I=")</f>
        <v>#REF!</v>
      </c>
      <c r="HD62" t="e">
        <f>AND(#REF!,"AAAAAC/uc9M=")</f>
        <v>#REF!</v>
      </c>
      <c r="HE62" t="e">
        <f>AND(#REF!,"AAAAAC/uc9Q=")</f>
        <v>#REF!</v>
      </c>
      <c r="HF62" t="e">
        <f>AND(#REF!,"AAAAAC/uc9U=")</f>
        <v>#REF!</v>
      </c>
      <c r="HG62" t="e">
        <f>AND(#REF!,"AAAAAC/uc9Y=")</f>
        <v>#REF!</v>
      </c>
      <c r="HH62" t="e">
        <f>AND(#REF!,"AAAAAC/uc9c=")</f>
        <v>#REF!</v>
      </c>
      <c r="HI62" t="e">
        <f>AND(#REF!,"AAAAAC/uc9g=")</f>
        <v>#REF!</v>
      </c>
      <c r="HJ62" t="e">
        <f>AND(#REF!,"AAAAAC/uc9k=")</f>
        <v>#REF!</v>
      </c>
      <c r="HK62" t="e">
        <f>AND(#REF!,"AAAAAC/uc9o=")</f>
        <v>#REF!</v>
      </c>
      <c r="HL62" t="e">
        <f>AND(#REF!,"AAAAAC/uc9s=")</f>
        <v>#REF!</v>
      </c>
      <c r="HM62" t="e">
        <f>AND(#REF!,"AAAAAC/uc9w=")</f>
        <v>#REF!</v>
      </c>
      <c r="HN62" t="e">
        <f>AND(#REF!,"AAAAAC/uc90=")</f>
        <v>#REF!</v>
      </c>
      <c r="HO62" t="e">
        <f>IF(#REF!,"AAAAAC/uc94=",0)</f>
        <v>#REF!</v>
      </c>
      <c r="HP62" t="e">
        <f>AND(#REF!,"AAAAAC/uc98=")</f>
        <v>#REF!</v>
      </c>
      <c r="HQ62" t="e">
        <f>AND(#REF!,"AAAAAC/uc+A=")</f>
        <v>#REF!</v>
      </c>
      <c r="HR62" t="e">
        <f>AND(#REF!,"AAAAAC/uc+E=")</f>
        <v>#REF!</v>
      </c>
      <c r="HS62" t="e">
        <f>AND(#REF!,"AAAAAC/uc+I=")</f>
        <v>#REF!</v>
      </c>
      <c r="HT62" t="e">
        <f>AND(#REF!,"AAAAAC/uc+M=")</f>
        <v>#REF!</v>
      </c>
      <c r="HU62" t="e">
        <f>AND(#REF!,"AAAAAC/uc+Q=")</f>
        <v>#REF!</v>
      </c>
      <c r="HV62" t="e">
        <f>AND(#REF!,"AAAAAC/uc+U=")</f>
        <v>#REF!</v>
      </c>
      <c r="HW62" t="e">
        <f>AND(#REF!,"AAAAAC/uc+Y=")</f>
        <v>#REF!</v>
      </c>
      <c r="HX62" t="e">
        <f>AND(#REF!,"AAAAAC/uc+c=")</f>
        <v>#REF!</v>
      </c>
      <c r="HY62" t="e">
        <f>AND(#REF!,"AAAAAC/uc+g=")</f>
        <v>#REF!</v>
      </c>
      <c r="HZ62" t="e">
        <f>AND(#REF!,"AAAAAC/uc+k=")</f>
        <v>#REF!</v>
      </c>
      <c r="IA62" t="e">
        <f>AND(#REF!,"AAAAAC/uc+o=")</f>
        <v>#REF!</v>
      </c>
      <c r="IB62" t="e">
        <f>AND(#REF!,"AAAAAC/uc+s=")</f>
        <v>#REF!</v>
      </c>
      <c r="IC62" t="e">
        <f>AND(#REF!,"AAAAAC/uc+w=")</f>
        <v>#REF!</v>
      </c>
      <c r="ID62" t="e">
        <f>AND(#REF!,"AAAAAC/uc+0=")</f>
        <v>#REF!</v>
      </c>
      <c r="IE62" t="e">
        <f>AND(#REF!,"AAAAAC/uc+4=")</f>
        <v>#REF!</v>
      </c>
      <c r="IF62" t="e">
        <f>AND(#REF!,"AAAAAC/uc+8=")</f>
        <v>#REF!</v>
      </c>
      <c r="IG62" t="e">
        <f>AND(#REF!,"AAAAAC/uc/A=")</f>
        <v>#REF!</v>
      </c>
      <c r="IH62" t="e">
        <f>AND(#REF!,"AAAAAC/uc/E=")</f>
        <v>#REF!</v>
      </c>
      <c r="II62" t="e">
        <f>AND(#REF!,"AAAAAC/uc/I=")</f>
        <v>#REF!</v>
      </c>
      <c r="IJ62" t="e">
        <f>AND(#REF!,"AAAAAC/uc/M=")</f>
        <v>#REF!</v>
      </c>
      <c r="IK62" t="e">
        <f>AND(#REF!,"AAAAAC/uc/Q=")</f>
        <v>#REF!</v>
      </c>
      <c r="IL62" t="e">
        <f>AND(#REF!,"AAAAAC/uc/U=")</f>
        <v>#REF!</v>
      </c>
      <c r="IM62" t="e">
        <f>AND(#REF!,"AAAAAC/uc/Y=")</f>
        <v>#REF!</v>
      </c>
      <c r="IN62" t="e">
        <f>AND(#REF!,"AAAAAC/uc/c=")</f>
        <v>#REF!</v>
      </c>
      <c r="IO62" t="e">
        <f>AND(#REF!,"AAAAAC/uc/g=")</f>
        <v>#REF!</v>
      </c>
      <c r="IP62" t="e">
        <f>IF(#REF!,"AAAAAC/uc/k=",0)</f>
        <v>#REF!</v>
      </c>
      <c r="IQ62" t="e">
        <f>AND(#REF!,"AAAAAC/uc/o=")</f>
        <v>#REF!</v>
      </c>
      <c r="IR62" t="e">
        <f>AND(#REF!,"AAAAAC/uc/s=")</f>
        <v>#REF!</v>
      </c>
      <c r="IS62" t="e">
        <f>AND(#REF!,"AAAAAC/uc/w=")</f>
        <v>#REF!</v>
      </c>
      <c r="IT62" t="e">
        <f>AND(#REF!,"AAAAAC/uc/0=")</f>
        <v>#REF!</v>
      </c>
      <c r="IU62" t="e">
        <f>AND(#REF!,"AAAAAC/uc/4=")</f>
        <v>#REF!</v>
      </c>
      <c r="IV62" t="e">
        <f>AND(#REF!,"AAAAAC/uc/8=")</f>
        <v>#REF!</v>
      </c>
    </row>
    <row r="63" spans="1:256" x14ac:dyDescent="0.2">
      <c r="A63" t="e">
        <f>AND(#REF!,"AAAAAHvrmQA=")</f>
        <v>#REF!</v>
      </c>
      <c r="B63" t="e">
        <f>AND(#REF!,"AAAAAHvrmQE=")</f>
        <v>#REF!</v>
      </c>
      <c r="C63" t="e">
        <f>AND(#REF!,"AAAAAHvrmQI=")</f>
        <v>#REF!</v>
      </c>
      <c r="D63" t="e">
        <f>AND(#REF!,"AAAAAHvrmQM=")</f>
        <v>#REF!</v>
      </c>
      <c r="E63" t="e">
        <f>AND(#REF!,"AAAAAHvrmQQ=")</f>
        <v>#REF!</v>
      </c>
      <c r="F63" t="e">
        <f>AND(#REF!,"AAAAAHvrmQU=")</f>
        <v>#REF!</v>
      </c>
      <c r="G63" t="e">
        <f>AND(#REF!,"AAAAAHvrmQY=")</f>
        <v>#REF!</v>
      </c>
      <c r="H63" t="e">
        <f>AND(#REF!,"AAAAAHvrmQc=")</f>
        <v>#REF!</v>
      </c>
      <c r="I63" t="e">
        <f>AND(#REF!,"AAAAAHvrmQg=")</f>
        <v>#REF!</v>
      </c>
      <c r="J63" t="e">
        <f>AND(#REF!,"AAAAAHvrmQk=")</f>
        <v>#REF!</v>
      </c>
      <c r="K63" t="e">
        <f>AND(#REF!,"AAAAAHvrmQo=")</f>
        <v>#REF!</v>
      </c>
      <c r="L63" t="e">
        <f>AND(#REF!,"AAAAAHvrmQs=")</f>
        <v>#REF!</v>
      </c>
      <c r="M63" t="e">
        <f>AND(#REF!,"AAAAAHvrmQw=")</f>
        <v>#REF!</v>
      </c>
      <c r="N63" t="e">
        <f>AND(#REF!,"AAAAAHvrmQ0=")</f>
        <v>#REF!</v>
      </c>
      <c r="O63" t="e">
        <f>AND(#REF!,"AAAAAHvrmQ4=")</f>
        <v>#REF!</v>
      </c>
      <c r="P63" t="e">
        <f>AND(#REF!,"AAAAAHvrmQ8=")</f>
        <v>#REF!</v>
      </c>
      <c r="Q63" t="e">
        <f>AND(#REF!,"AAAAAHvrmRA=")</f>
        <v>#REF!</v>
      </c>
      <c r="R63" t="e">
        <f>AND(#REF!,"AAAAAHvrmRE=")</f>
        <v>#REF!</v>
      </c>
      <c r="S63" t="e">
        <f>AND(#REF!,"AAAAAHvrmRI=")</f>
        <v>#REF!</v>
      </c>
      <c r="T63" t="e">
        <f>AND(#REF!,"AAAAAHvrmRM=")</f>
        <v>#REF!</v>
      </c>
      <c r="U63" t="e">
        <f>IF(#REF!,"AAAAAHvrmRQ=",0)</f>
        <v>#REF!</v>
      </c>
      <c r="V63" t="e">
        <f>AND(#REF!,"AAAAAHvrmRU=")</f>
        <v>#REF!</v>
      </c>
      <c r="W63" t="e">
        <f>AND(#REF!,"AAAAAHvrmRY=")</f>
        <v>#REF!</v>
      </c>
      <c r="X63" t="e">
        <f>AND(#REF!,"AAAAAHvrmRc=")</f>
        <v>#REF!</v>
      </c>
      <c r="Y63" t="e">
        <f>AND(#REF!,"AAAAAHvrmRg=")</f>
        <v>#REF!</v>
      </c>
      <c r="Z63" t="e">
        <f>AND(#REF!,"AAAAAHvrmRk=")</f>
        <v>#REF!</v>
      </c>
      <c r="AA63" t="e">
        <f>AND(#REF!,"AAAAAHvrmRo=")</f>
        <v>#REF!</v>
      </c>
      <c r="AB63" t="e">
        <f>AND(#REF!,"AAAAAHvrmRs=")</f>
        <v>#REF!</v>
      </c>
      <c r="AC63" t="e">
        <f>AND(#REF!,"AAAAAHvrmRw=")</f>
        <v>#REF!</v>
      </c>
      <c r="AD63" t="e">
        <f>AND(#REF!,"AAAAAHvrmR0=")</f>
        <v>#REF!</v>
      </c>
      <c r="AE63" t="e">
        <f>AND(#REF!,"AAAAAHvrmR4=")</f>
        <v>#REF!</v>
      </c>
      <c r="AF63" t="e">
        <f>AND(#REF!,"AAAAAHvrmR8=")</f>
        <v>#REF!</v>
      </c>
      <c r="AG63" t="e">
        <f>AND(#REF!,"AAAAAHvrmSA=")</f>
        <v>#REF!</v>
      </c>
      <c r="AH63" t="e">
        <f>AND(#REF!,"AAAAAHvrmSE=")</f>
        <v>#REF!</v>
      </c>
      <c r="AI63" t="e">
        <f>AND(#REF!,"AAAAAHvrmSI=")</f>
        <v>#REF!</v>
      </c>
      <c r="AJ63" t="e">
        <f>AND(#REF!,"AAAAAHvrmSM=")</f>
        <v>#REF!</v>
      </c>
      <c r="AK63" t="e">
        <f>AND(#REF!,"AAAAAHvrmSQ=")</f>
        <v>#REF!</v>
      </c>
      <c r="AL63" t="e">
        <f>AND(#REF!,"AAAAAHvrmSU=")</f>
        <v>#REF!</v>
      </c>
      <c r="AM63" t="e">
        <f>AND(#REF!,"AAAAAHvrmSY=")</f>
        <v>#REF!</v>
      </c>
      <c r="AN63" t="e">
        <f>AND(#REF!,"AAAAAHvrmSc=")</f>
        <v>#REF!</v>
      </c>
      <c r="AO63" t="e">
        <f>AND(#REF!,"AAAAAHvrmSg=")</f>
        <v>#REF!</v>
      </c>
      <c r="AP63" t="e">
        <f>AND(#REF!,"AAAAAHvrmSk=")</f>
        <v>#REF!</v>
      </c>
      <c r="AQ63" t="e">
        <f>AND(#REF!,"AAAAAHvrmSo=")</f>
        <v>#REF!</v>
      </c>
      <c r="AR63" t="e">
        <f>AND(#REF!,"AAAAAHvrmSs=")</f>
        <v>#REF!</v>
      </c>
      <c r="AS63" t="e">
        <f>AND(#REF!,"AAAAAHvrmSw=")</f>
        <v>#REF!</v>
      </c>
      <c r="AT63" t="e">
        <f>AND(#REF!,"AAAAAHvrmS0=")</f>
        <v>#REF!</v>
      </c>
      <c r="AU63" t="e">
        <f>AND(#REF!,"AAAAAHvrmS4=")</f>
        <v>#REF!</v>
      </c>
      <c r="AV63" t="e">
        <f>IF(#REF!,"AAAAAHvrmS8=",0)</f>
        <v>#REF!</v>
      </c>
      <c r="AW63" t="e">
        <f>AND(#REF!,"AAAAAHvrmTA=")</f>
        <v>#REF!</v>
      </c>
      <c r="AX63" t="e">
        <f>AND(#REF!,"AAAAAHvrmTE=")</f>
        <v>#REF!</v>
      </c>
      <c r="AY63" t="e">
        <f>AND(#REF!,"AAAAAHvrmTI=")</f>
        <v>#REF!</v>
      </c>
      <c r="AZ63" t="e">
        <f>AND(#REF!,"AAAAAHvrmTM=")</f>
        <v>#REF!</v>
      </c>
      <c r="BA63" t="e">
        <f>AND(#REF!,"AAAAAHvrmTQ=")</f>
        <v>#REF!</v>
      </c>
      <c r="BB63" t="e">
        <f>AND(#REF!,"AAAAAHvrmTU=")</f>
        <v>#REF!</v>
      </c>
      <c r="BC63" t="e">
        <f>AND(#REF!,"AAAAAHvrmTY=")</f>
        <v>#REF!</v>
      </c>
      <c r="BD63" t="e">
        <f>AND(#REF!,"AAAAAHvrmTc=")</f>
        <v>#REF!</v>
      </c>
      <c r="BE63" t="e">
        <f>AND(#REF!,"AAAAAHvrmTg=")</f>
        <v>#REF!</v>
      </c>
      <c r="BF63" t="e">
        <f>AND(#REF!,"AAAAAHvrmTk=")</f>
        <v>#REF!</v>
      </c>
      <c r="BG63" t="e">
        <f>AND(#REF!,"AAAAAHvrmTo=")</f>
        <v>#REF!</v>
      </c>
      <c r="BH63" t="e">
        <f>AND(#REF!,"AAAAAHvrmTs=")</f>
        <v>#REF!</v>
      </c>
      <c r="BI63" t="e">
        <f>AND(#REF!,"AAAAAHvrmTw=")</f>
        <v>#REF!</v>
      </c>
      <c r="BJ63" t="e">
        <f>AND(#REF!,"AAAAAHvrmT0=")</f>
        <v>#REF!</v>
      </c>
      <c r="BK63" t="e">
        <f>AND(#REF!,"AAAAAHvrmT4=")</f>
        <v>#REF!</v>
      </c>
      <c r="BL63" t="e">
        <f>AND(#REF!,"AAAAAHvrmT8=")</f>
        <v>#REF!</v>
      </c>
      <c r="BM63" t="e">
        <f>AND(#REF!,"AAAAAHvrmUA=")</f>
        <v>#REF!</v>
      </c>
      <c r="BN63" t="e">
        <f>AND(#REF!,"AAAAAHvrmUE=")</f>
        <v>#REF!</v>
      </c>
      <c r="BO63" t="e">
        <f>AND(#REF!,"AAAAAHvrmUI=")</f>
        <v>#REF!</v>
      </c>
      <c r="BP63" t="e">
        <f>AND(#REF!,"AAAAAHvrmUM=")</f>
        <v>#REF!</v>
      </c>
      <c r="BQ63" t="e">
        <f>AND(#REF!,"AAAAAHvrmUQ=")</f>
        <v>#REF!</v>
      </c>
      <c r="BR63" t="e">
        <f>AND(#REF!,"AAAAAHvrmUU=")</f>
        <v>#REF!</v>
      </c>
      <c r="BS63" t="e">
        <f>AND(#REF!,"AAAAAHvrmUY=")</f>
        <v>#REF!</v>
      </c>
      <c r="BT63" t="e">
        <f>AND(#REF!,"AAAAAHvrmUc=")</f>
        <v>#REF!</v>
      </c>
      <c r="BU63" t="e">
        <f>AND(#REF!,"AAAAAHvrmUg=")</f>
        <v>#REF!</v>
      </c>
      <c r="BV63" t="e">
        <f>AND(#REF!,"AAAAAHvrmUk=")</f>
        <v>#REF!</v>
      </c>
      <c r="BW63" t="e">
        <f>IF(#REF!,"AAAAAHvrmUo=",0)</f>
        <v>#REF!</v>
      </c>
      <c r="BX63" t="e">
        <f>AND(#REF!,"AAAAAHvrmUs=")</f>
        <v>#REF!</v>
      </c>
      <c r="BY63" t="e">
        <f>AND(#REF!,"AAAAAHvrmUw=")</f>
        <v>#REF!</v>
      </c>
      <c r="BZ63" t="e">
        <f>AND(#REF!,"AAAAAHvrmU0=")</f>
        <v>#REF!</v>
      </c>
      <c r="CA63" t="e">
        <f>AND(#REF!,"AAAAAHvrmU4=")</f>
        <v>#REF!</v>
      </c>
      <c r="CB63" t="e">
        <f>AND(#REF!,"AAAAAHvrmU8=")</f>
        <v>#REF!</v>
      </c>
      <c r="CC63" t="e">
        <f>AND(#REF!,"AAAAAHvrmVA=")</f>
        <v>#REF!</v>
      </c>
      <c r="CD63" t="e">
        <f>AND(#REF!,"AAAAAHvrmVE=")</f>
        <v>#REF!</v>
      </c>
      <c r="CE63" t="e">
        <f>AND(#REF!,"AAAAAHvrmVI=")</f>
        <v>#REF!</v>
      </c>
      <c r="CF63" t="e">
        <f>AND(#REF!,"AAAAAHvrmVM=")</f>
        <v>#REF!</v>
      </c>
      <c r="CG63" t="e">
        <f>AND(#REF!,"AAAAAHvrmVQ=")</f>
        <v>#REF!</v>
      </c>
      <c r="CH63" t="e">
        <f>AND(#REF!,"AAAAAHvrmVU=")</f>
        <v>#REF!</v>
      </c>
      <c r="CI63" t="e">
        <f>AND(#REF!,"AAAAAHvrmVY=")</f>
        <v>#REF!</v>
      </c>
      <c r="CJ63" t="e">
        <f>AND(#REF!,"AAAAAHvrmVc=")</f>
        <v>#REF!</v>
      </c>
      <c r="CK63" t="e">
        <f>AND(#REF!,"AAAAAHvrmVg=")</f>
        <v>#REF!</v>
      </c>
      <c r="CL63" t="e">
        <f>AND(#REF!,"AAAAAHvrmVk=")</f>
        <v>#REF!</v>
      </c>
      <c r="CM63" t="e">
        <f>AND(#REF!,"AAAAAHvrmVo=")</f>
        <v>#REF!</v>
      </c>
      <c r="CN63" t="e">
        <f>AND(#REF!,"AAAAAHvrmVs=")</f>
        <v>#REF!</v>
      </c>
      <c r="CO63" t="e">
        <f>AND(#REF!,"AAAAAHvrmVw=")</f>
        <v>#REF!</v>
      </c>
      <c r="CP63" t="e">
        <f>AND(#REF!,"AAAAAHvrmV0=")</f>
        <v>#REF!</v>
      </c>
      <c r="CQ63" t="e">
        <f>AND(#REF!,"AAAAAHvrmV4=")</f>
        <v>#REF!</v>
      </c>
      <c r="CR63" t="e">
        <f>AND(#REF!,"AAAAAHvrmV8=")</f>
        <v>#REF!</v>
      </c>
      <c r="CS63" t="e">
        <f>AND(#REF!,"AAAAAHvrmWA=")</f>
        <v>#REF!</v>
      </c>
      <c r="CT63" t="e">
        <f>AND(#REF!,"AAAAAHvrmWE=")</f>
        <v>#REF!</v>
      </c>
      <c r="CU63" t="e">
        <f>AND(#REF!,"AAAAAHvrmWI=")</f>
        <v>#REF!</v>
      </c>
      <c r="CV63" t="e">
        <f>AND(#REF!,"AAAAAHvrmWM=")</f>
        <v>#REF!</v>
      </c>
      <c r="CW63" t="e">
        <f>AND(#REF!,"AAAAAHvrmWQ=")</f>
        <v>#REF!</v>
      </c>
      <c r="CX63" t="e">
        <f>IF(#REF!,"AAAAAHvrmWU=",0)</f>
        <v>#REF!</v>
      </c>
      <c r="CY63" t="e">
        <f>AND(#REF!,"AAAAAHvrmWY=")</f>
        <v>#REF!</v>
      </c>
      <c r="CZ63" t="e">
        <f>AND(#REF!,"AAAAAHvrmWc=")</f>
        <v>#REF!</v>
      </c>
      <c r="DA63" t="e">
        <f>AND(#REF!,"AAAAAHvrmWg=")</f>
        <v>#REF!</v>
      </c>
      <c r="DB63" t="e">
        <f>AND(#REF!,"AAAAAHvrmWk=")</f>
        <v>#REF!</v>
      </c>
      <c r="DC63" t="e">
        <f>AND(#REF!,"AAAAAHvrmWo=")</f>
        <v>#REF!</v>
      </c>
      <c r="DD63" t="e">
        <f>AND(#REF!,"AAAAAHvrmWs=")</f>
        <v>#REF!</v>
      </c>
      <c r="DE63" t="e">
        <f>AND(#REF!,"AAAAAHvrmWw=")</f>
        <v>#REF!</v>
      </c>
      <c r="DF63" t="e">
        <f>AND(#REF!,"AAAAAHvrmW0=")</f>
        <v>#REF!</v>
      </c>
      <c r="DG63" t="e">
        <f>AND(#REF!,"AAAAAHvrmW4=")</f>
        <v>#REF!</v>
      </c>
      <c r="DH63" t="e">
        <f>AND(#REF!,"AAAAAHvrmW8=")</f>
        <v>#REF!</v>
      </c>
      <c r="DI63" t="e">
        <f>AND(#REF!,"AAAAAHvrmXA=")</f>
        <v>#REF!</v>
      </c>
      <c r="DJ63" t="e">
        <f>AND(#REF!,"AAAAAHvrmXE=")</f>
        <v>#REF!</v>
      </c>
      <c r="DK63" t="e">
        <f>AND(#REF!,"AAAAAHvrmXI=")</f>
        <v>#REF!</v>
      </c>
      <c r="DL63" t="e">
        <f>AND(#REF!,"AAAAAHvrmXM=")</f>
        <v>#REF!</v>
      </c>
      <c r="DM63" t="e">
        <f>AND(#REF!,"AAAAAHvrmXQ=")</f>
        <v>#REF!</v>
      </c>
      <c r="DN63" t="e">
        <f>AND(#REF!,"AAAAAHvrmXU=")</f>
        <v>#REF!</v>
      </c>
      <c r="DO63" t="e">
        <f>AND(#REF!,"AAAAAHvrmXY=")</f>
        <v>#REF!</v>
      </c>
      <c r="DP63" t="e">
        <f>AND(#REF!,"AAAAAHvrmXc=")</f>
        <v>#REF!</v>
      </c>
      <c r="DQ63" t="e">
        <f>AND(#REF!,"AAAAAHvrmXg=")</f>
        <v>#REF!</v>
      </c>
      <c r="DR63" t="e">
        <f>AND(#REF!,"AAAAAHvrmXk=")</f>
        <v>#REF!</v>
      </c>
      <c r="DS63" t="e">
        <f>AND(#REF!,"AAAAAHvrmXo=")</f>
        <v>#REF!</v>
      </c>
      <c r="DT63" t="e">
        <f>AND(#REF!,"AAAAAHvrmXs=")</f>
        <v>#REF!</v>
      </c>
      <c r="DU63" t="e">
        <f>AND(#REF!,"AAAAAHvrmXw=")</f>
        <v>#REF!</v>
      </c>
      <c r="DV63" t="e">
        <f>AND(#REF!,"AAAAAHvrmX0=")</f>
        <v>#REF!</v>
      </c>
      <c r="DW63" t="e">
        <f>AND(#REF!,"AAAAAHvrmX4=")</f>
        <v>#REF!</v>
      </c>
      <c r="DX63" t="e">
        <f>AND(#REF!,"AAAAAHvrmX8=")</f>
        <v>#REF!</v>
      </c>
      <c r="DY63" t="e">
        <f>IF(#REF!,"AAAAAHvrmYA=",0)</f>
        <v>#REF!</v>
      </c>
      <c r="DZ63" t="e">
        <f>AND(#REF!,"AAAAAHvrmYE=")</f>
        <v>#REF!</v>
      </c>
      <c r="EA63" t="e">
        <f>AND(#REF!,"AAAAAHvrmYI=")</f>
        <v>#REF!</v>
      </c>
      <c r="EB63" t="e">
        <f>AND(#REF!,"AAAAAHvrmYM=")</f>
        <v>#REF!</v>
      </c>
      <c r="EC63" t="e">
        <f>AND(#REF!,"AAAAAHvrmYQ=")</f>
        <v>#REF!</v>
      </c>
      <c r="ED63" t="e">
        <f>AND(#REF!,"AAAAAHvrmYU=")</f>
        <v>#REF!</v>
      </c>
      <c r="EE63" t="e">
        <f>AND(#REF!,"AAAAAHvrmYY=")</f>
        <v>#REF!</v>
      </c>
      <c r="EF63" t="e">
        <f>AND(#REF!,"AAAAAHvrmYc=")</f>
        <v>#REF!</v>
      </c>
      <c r="EG63" t="e">
        <f>AND(#REF!,"AAAAAHvrmYg=")</f>
        <v>#REF!</v>
      </c>
      <c r="EH63" t="e">
        <f>AND(#REF!,"AAAAAHvrmYk=")</f>
        <v>#REF!</v>
      </c>
      <c r="EI63" t="e">
        <f>AND(#REF!,"AAAAAHvrmYo=")</f>
        <v>#REF!</v>
      </c>
      <c r="EJ63" t="e">
        <f>AND(#REF!,"AAAAAHvrmYs=")</f>
        <v>#REF!</v>
      </c>
      <c r="EK63" t="e">
        <f>AND(#REF!,"AAAAAHvrmYw=")</f>
        <v>#REF!</v>
      </c>
      <c r="EL63" t="e">
        <f>AND(#REF!,"AAAAAHvrmY0=")</f>
        <v>#REF!</v>
      </c>
      <c r="EM63" t="e">
        <f>AND(#REF!,"AAAAAHvrmY4=")</f>
        <v>#REF!</v>
      </c>
      <c r="EN63" t="e">
        <f>AND(#REF!,"AAAAAHvrmY8=")</f>
        <v>#REF!</v>
      </c>
      <c r="EO63" t="e">
        <f>AND(#REF!,"AAAAAHvrmZA=")</f>
        <v>#REF!</v>
      </c>
      <c r="EP63" t="e">
        <f>AND(#REF!,"AAAAAHvrmZE=")</f>
        <v>#REF!</v>
      </c>
      <c r="EQ63" t="e">
        <f>AND(#REF!,"AAAAAHvrmZI=")</f>
        <v>#REF!</v>
      </c>
      <c r="ER63" t="e">
        <f>AND(#REF!,"AAAAAHvrmZM=")</f>
        <v>#REF!</v>
      </c>
      <c r="ES63" t="e">
        <f>AND(#REF!,"AAAAAHvrmZQ=")</f>
        <v>#REF!</v>
      </c>
      <c r="ET63" t="e">
        <f>AND(#REF!,"AAAAAHvrmZU=")</f>
        <v>#REF!</v>
      </c>
      <c r="EU63" t="e">
        <f>AND(#REF!,"AAAAAHvrmZY=")</f>
        <v>#REF!</v>
      </c>
      <c r="EV63" t="e">
        <f>AND(#REF!,"AAAAAHvrmZc=")</f>
        <v>#REF!</v>
      </c>
      <c r="EW63" t="e">
        <f>AND(#REF!,"AAAAAHvrmZg=")</f>
        <v>#REF!</v>
      </c>
      <c r="EX63" t="e">
        <f>AND(#REF!,"AAAAAHvrmZk=")</f>
        <v>#REF!</v>
      </c>
      <c r="EY63" t="e">
        <f>AND(#REF!,"AAAAAHvrmZo=")</f>
        <v>#REF!</v>
      </c>
      <c r="EZ63" t="e">
        <f>IF(#REF!,"AAAAAHvrmZs=",0)</f>
        <v>#REF!</v>
      </c>
      <c r="FA63" t="e">
        <f>AND(#REF!,"AAAAAHvrmZw=")</f>
        <v>#REF!</v>
      </c>
      <c r="FB63" t="e">
        <f>AND(#REF!,"AAAAAHvrmZ0=")</f>
        <v>#REF!</v>
      </c>
      <c r="FC63" t="e">
        <f>AND(#REF!,"AAAAAHvrmZ4=")</f>
        <v>#REF!</v>
      </c>
      <c r="FD63" t="e">
        <f>AND(#REF!,"AAAAAHvrmZ8=")</f>
        <v>#REF!</v>
      </c>
      <c r="FE63" t="e">
        <f>AND(#REF!,"AAAAAHvrmaA=")</f>
        <v>#REF!</v>
      </c>
      <c r="FF63" t="e">
        <f>AND(#REF!,"AAAAAHvrmaE=")</f>
        <v>#REF!</v>
      </c>
      <c r="FG63" t="e">
        <f>AND(#REF!,"AAAAAHvrmaI=")</f>
        <v>#REF!</v>
      </c>
      <c r="FH63" t="e">
        <f>AND(#REF!,"AAAAAHvrmaM=")</f>
        <v>#REF!</v>
      </c>
      <c r="FI63" t="e">
        <f>AND(#REF!,"AAAAAHvrmaQ=")</f>
        <v>#REF!</v>
      </c>
      <c r="FJ63" t="e">
        <f>AND(#REF!,"AAAAAHvrmaU=")</f>
        <v>#REF!</v>
      </c>
      <c r="FK63" t="e">
        <f>AND(#REF!,"AAAAAHvrmaY=")</f>
        <v>#REF!</v>
      </c>
      <c r="FL63" t="e">
        <f>AND(#REF!,"AAAAAHvrmac=")</f>
        <v>#REF!</v>
      </c>
      <c r="FM63" t="e">
        <f>AND(#REF!,"AAAAAHvrmag=")</f>
        <v>#REF!</v>
      </c>
      <c r="FN63" t="e">
        <f>AND(#REF!,"AAAAAHvrmak=")</f>
        <v>#REF!</v>
      </c>
      <c r="FO63" t="e">
        <f>AND(#REF!,"AAAAAHvrmao=")</f>
        <v>#REF!</v>
      </c>
      <c r="FP63" t="e">
        <f>AND(#REF!,"AAAAAHvrmas=")</f>
        <v>#REF!</v>
      </c>
      <c r="FQ63" t="e">
        <f>AND(#REF!,"AAAAAHvrmaw=")</f>
        <v>#REF!</v>
      </c>
      <c r="FR63" t="e">
        <f>AND(#REF!,"AAAAAHvrma0=")</f>
        <v>#REF!</v>
      </c>
      <c r="FS63" t="e">
        <f>AND(#REF!,"AAAAAHvrma4=")</f>
        <v>#REF!</v>
      </c>
      <c r="FT63" t="e">
        <f>AND(#REF!,"AAAAAHvrma8=")</f>
        <v>#REF!</v>
      </c>
      <c r="FU63" t="e">
        <f>AND(#REF!,"AAAAAHvrmbA=")</f>
        <v>#REF!</v>
      </c>
      <c r="FV63" t="e">
        <f>AND(#REF!,"AAAAAHvrmbE=")</f>
        <v>#REF!</v>
      </c>
      <c r="FW63" t="e">
        <f>AND(#REF!,"AAAAAHvrmbI=")</f>
        <v>#REF!</v>
      </c>
      <c r="FX63" t="e">
        <f>AND(#REF!,"AAAAAHvrmbM=")</f>
        <v>#REF!</v>
      </c>
      <c r="FY63" t="e">
        <f>AND(#REF!,"AAAAAHvrmbQ=")</f>
        <v>#REF!</v>
      </c>
      <c r="FZ63" t="e">
        <f>AND(#REF!,"AAAAAHvrmbU=")</f>
        <v>#REF!</v>
      </c>
      <c r="GA63" t="e">
        <f>IF(#REF!,"AAAAAHvrmbY=",0)</f>
        <v>#REF!</v>
      </c>
      <c r="GB63" t="e">
        <f>AND(#REF!,"AAAAAHvrmbc=")</f>
        <v>#REF!</v>
      </c>
      <c r="GC63" t="e">
        <f>AND(#REF!,"AAAAAHvrmbg=")</f>
        <v>#REF!</v>
      </c>
      <c r="GD63" t="e">
        <f>AND(#REF!,"AAAAAHvrmbk=")</f>
        <v>#REF!</v>
      </c>
      <c r="GE63" t="e">
        <f>AND(#REF!,"AAAAAHvrmbo=")</f>
        <v>#REF!</v>
      </c>
      <c r="GF63" t="e">
        <f>AND(#REF!,"AAAAAHvrmbs=")</f>
        <v>#REF!</v>
      </c>
      <c r="GG63" t="e">
        <f>AND(#REF!,"AAAAAHvrmbw=")</f>
        <v>#REF!</v>
      </c>
      <c r="GH63" t="e">
        <f>AND(#REF!,"AAAAAHvrmb0=")</f>
        <v>#REF!</v>
      </c>
      <c r="GI63" t="e">
        <f>AND(#REF!,"AAAAAHvrmb4=")</f>
        <v>#REF!</v>
      </c>
      <c r="GJ63" t="e">
        <f>AND(#REF!,"AAAAAHvrmb8=")</f>
        <v>#REF!</v>
      </c>
      <c r="GK63" t="e">
        <f>AND(#REF!,"AAAAAHvrmcA=")</f>
        <v>#REF!</v>
      </c>
      <c r="GL63" t="e">
        <f>AND(#REF!,"AAAAAHvrmcE=")</f>
        <v>#REF!</v>
      </c>
      <c r="GM63" t="e">
        <f>AND(#REF!,"AAAAAHvrmcI=")</f>
        <v>#REF!</v>
      </c>
      <c r="GN63" t="e">
        <f>AND(#REF!,"AAAAAHvrmcM=")</f>
        <v>#REF!</v>
      </c>
      <c r="GO63" t="e">
        <f>AND(#REF!,"AAAAAHvrmcQ=")</f>
        <v>#REF!</v>
      </c>
      <c r="GP63" t="e">
        <f>AND(#REF!,"AAAAAHvrmcU=")</f>
        <v>#REF!</v>
      </c>
      <c r="GQ63" t="e">
        <f>AND(#REF!,"AAAAAHvrmcY=")</f>
        <v>#REF!</v>
      </c>
      <c r="GR63" t="e">
        <f>AND(#REF!,"AAAAAHvrmcc=")</f>
        <v>#REF!</v>
      </c>
      <c r="GS63" t="e">
        <f>AND(#REF!,"AAAAAHvrmcg=")</f>
        <v>#REF!</v>
      </c>
      <c r="GT63" t="e">
        <f>AND(#REF!,"AAAAAHvrmck=")</f>
        <v>#REF!</v>
      </c>
      <c r="GU63" t="e">
        <f>AND(#REF!,"AAAAAHvrmco=")</f>
        <v>#REF!</v>
      </c>
      <c r="GV63" t="e">
        <f>AND(#REF!,"AAAAAHvrmcs=")</f>
        <v>#REF!</v>
      </c>
      <c r="GW63" t="e">
        <f>AND(#REF!,"AAAAAHvrmcw=")</f>
        <v>#REF!</v>
      </c>
      <c r="GX63" t="e">
        <f>AND(#REF!,"AAAAAHvrmc0=")</f>
        <v>#REF!</v>
      </c>
      <c r="GY63" t="e">
        <f>AND(#REF!,"AAAAAHvrmc4=")</f>
        <v>#REF!</v>
      </c>
      <c r="GZ63" t="e">
        <f>AND(#REF!,"AAAAAHvrmc8=")</f>
        <v>#REF!</v>
      </c>
      <c r="HA63" t="e">
        <f>AND(#REF!,"AAAAAHvrmdA=")</f>
        <v>#REF!</v>
      </c>
      <c r="HB63" t="e">
        <f>IF(#REF!,"AAAAAHvrmdE=",0)</f>
        <v>#REF!</v>
      </c>
      <c r="HC63" t="e">
        <f>AND(#REF!,"AAAAAHvrmdI=")</f>
        <v>#REF!</v>
      </c>
      <c r="HD63" t="e">
        <f>AND(#REF!,"AAAAAHvrmdM=")</f>
        <v>#REF!</v>
      </c>
      <c r="HE63" t="e">
        <f>AND(#REF!,"AAAAAHvrmdQ=")</f>
        <v>#REF!</v>
      </c>
      <c r="HF63" t="e">
        <f>AND(#REF!,"AAAAAHvrmdU=")</f>
        <v>#REF!</v>
      </c>
      <c r="HG63" t="e">
        <f>AND(#REF!,"AAAAAHvrmdY=")</f>
        <v>#REF!</v>
      </c>
      <c r="HH63" t="e">
        <f>AND(#REF!,"AAAAAHvrmdc=")</f>
        <v>#REF!</v>
      </c>
      <c r="HI63" t="e">
        <f>AND(#REF!,"AAAAAHvrmdg=")</f>
        <v>#REF!</v>
      </c>
      <c r="HJ63" t="e">
        <f>AND(#REF!,"AAAAAHvrmdk=")</f>
        <v>#REF!</v>
      </c>
      <c r="HK63" t="e">
        <f>AND(#REF!,"AAAAAHvrmdo=")</f>
        <v>#REF!</v>
      </c>
      <c r="HL63" t="e">
        <f>AND(#REF!,"AAAAAHvrmds=")</f>
        <v>#REF!</v>
      </c>
      <c r="HM63" t="e">
        <f>AND(#REF!,"AAAAAHvrmdw=")</f>
        <v>#REF!</v>
      </c>
      <c r="HN63" t="e">
        <f>AND(#REF!,"AAAAAHvrmd0=")</f>
        <v>#REF!</v>
      </c>
      <c r="HO63" t="e">
        <f>AND(#REF!,"AAAAAHvrmd4=")</f>
        <v>#REF!</v>
      </c>
      <c r="HP63" t="e">
        <f>AND(#REF!,"AAAAAHvrmd8=")</f>
        <v>#REF!</v>
      </c>
      <c r="HQ63" t="e">
        <f>AND(#REF!,"AAAAAHvrmeA=")</f>
        <v>#REF!</v>
      </c>
      <c r="HR63" t="e">
        <f>AND(#REF!,"AAAAAHvrmeE=")</f>
        <v>#REF!</v>
      </c>
      <c r="HS63" t="e">
        <f>AND(#REF!,"AAAAAHvrmeI=")</f>
        <v>#REF!</v>
      </c>
      <c r="HT63" t="e">
        <f>AND(#REF!,"AAAAAHvrmeM=")</f>
        <v>#REF!</v>
      </c>
      <c r="HU63" t="e">
        <f>AND(#REF!,"AAAAAHvrmeQ=")</f>
        <v>#REF!</v>
      </c>
      <c r="HV63" t="e">
        <f>AND(#REF!,"AAAAAHvrmeU=")</f>
        <v>#REF!</v>
      </c>
      <c r="HW63" t="e">
        <f>AND(#REF!,"AAAAAHvrmeY=")</f>
        <v>#REF!</v>
      </c>
      <c r="HX63" t="e">
        <f>AND(#REF!,"AAAAAHvrmec=")</f>
        <v>#REF!</v>
      </c>
      <c r="HY63" t="e">
        <f>AND(#REF!,"AAAAAHvrmeg=")</f>
        <v>#REF!</v>
      </c>
      <c r="HZ63" t="e">
        <f>AND(#REF!,"AAAAAHvrmek=")</f>
        <v>#REF!</v>
      </c>
      <c r="IA63" t="e">
        <f>AND(#REF!,"AAAAAHvrmeo=")</f>
        <v>#REF!</v>
      </c>
      <c r="IB63" t="e">
        <f>AND(#REF!,"AAAAAHvrmes=")</f>
        <v>#REF!</v>
      </c>
      <c r="IC63" t="e">
        <f>IF(#REF!,"AAAAAHvrmew=",0)</f>
        <v>#REF!</v>
      </c>
      <c r="ID63" t="e">
        <f>AND(#REF!,"AAAAAHvrme0=")</f>
        <v>#REF!</v>
      </c>
      <c r="IE63" t="e">
        <f>AND(#REF!,"AAAAAHvrme4=")</f>
        <v>#REF!</v>
      </c>
      <c r="IF63" t="e">
        <f>AND(#REF!,"AAAAAHvrme8=")</f>
        <v>#REF!</v>
      </c>
      <c r="IG63" t="e">
        <f>AND(#REF!,"AAAAAHvrmfA=")</f>
        <v>#REF!</v>
      </c>
      <c r="IH63" t="e">
        <f>AND(#REF!,"AAAAAHvrmfE=")</f>
        <v>#REF!</v>
      </c>
      <c r="II63" t="e">
        <f>AND(#REF!,"AAAAAHvrmfI=")</f>
        <v>#REF!</v>
      </c>
      <c r="IJ63" t="e">
        <f>AND(#REF!,"AAAAAHvrmfM=")</f>
        <v>#REF!</v>
      </c>
      <c r="IK63" t="e">
        <f>AND(#REF!,"AAAAAHvrmfQ=")</f>
        <v>#REF!</v>
      </c>
      <c r="IL63" t="e">
        <f>AND(#REF!,"AAAAAHvrmfU=")</f>
        <v>#REF!</v>
      </c>
      <c r="IM63" t="e">
        <f>AND(#REF!,"AAAAAHvrmfY=")</f>
        <v>#REF!</v>
      </c>
      <c r="IN63" t="e">
        <f>AND(#REF!,"AAAAAHvrmfc=")</f>
        <v>#REF!</v>
      </c>
      <c r="IO63" t="e">
        <f>AND(#REF!,"AAAAAHvrmfg=")</f>
        <v>#REF!</v>
      </c>
      <c r="IP63" t="e">
        <f>AND(#REF!,"AAAAAHvrmfk=")</f>
        <v>#REF!</v>
      </c>
      <c r="IQ63" t="e">
        <f>AND(#REF!,"AAAAAHvrmfo=")</f>
        <v>#REF!</v>
      </c>
      <c r="IR63" t="e">
        <f>AND(#REF!,"AAAAAHvrmfs=")</f>
        <v>#REF!</v>
      </c>
      <c r="IS63" t="e">
        <f>AND(#REF!,"AAAAAHvrmfw=")</f>
        <v>#REF!</v>
      </c>
      <c r="IT63" t="e">
        <f>AND(#REF!,"AAAAAHvrmf0=")</f>
        <v>#REF!</v>
      </c>
      <c r="IU63" t="e">
        <f>AND(#REF!,"AAAAAHvrmf4=")</f>
        <v>#REF!</v>
      </c>
      <c r="IV63" t="e">
        <f>AND(#REF!,"AAAAAHvrmf8=")</f>
        <v>#REF!</v>
      </c>
    </row>
    <row r="64" spans="1:256" x14ac:dyDescent="0.2">
      <c r="A64" t="e">
        <f>AND(#REF!,"AAAAAHv/XwA=")</f>
        <v>#REF!</v>
      </c>
      <c r="B64" t="e">
        <f>AND(#REF!,"AAAAAHv/XwE=")</f>
        <v>#REF!</v>
      </c>
      <c r="C64" t="e">
        <f>AND(#REF!,"AAAAAHv/XwI=")</f>
        <v>#REF!</v>
      </c>
      <c r="D64" t="e">
        <f>AND(#REF!,"AAAAAHv/XwM=")</f>
        <v>#REF!</v>
      </c>
      <c r="E64" t="e">
        <f>AND(#REF!,"AAAAAHv/XwQ=")</f>
        <v>#REF!</v>
      </c>
      <c r="F64" t="e">
        <f>AND(#REF!,"AAAAAHv/XwU=")</f>
        <v>#REF!</v>
      </c>
      <c r="G64" t="e">
        <f>AND(#REF!,"AAAAAHv/XwY=")</f>
        <v>#REF!</v>
      </c>
      <c r="H64" t="e">
        <f>IF(#REF!,"AAAAAHv/Xwc=",0)</f>
        <v>#REF!</v>
      </c>
      <c r="I64" t="e">
        <f>AND(#REF!,"AAAAAHv/Xwg=")</f>
        <v>#REF!</v>
      </c>
      <c r="J64" t="e">
        <f>AND(#REF!,"AAAAAHv/Xwk=")</f>
        <v>#REF!</v>
      </c>
      <c r="K64" t="e">
        <f>AND(#REF!,"AAAAAHv/Xwo=")</f>
        <v>#REF!</v>
      </c>
      <c r="L64" t="e">
        <f>AND(#REF!,"AAAAAHv/Xws=")</f>
        <v>#REF!</v>
      </c>
      <c r="M64" t="e">
        <f>AND(#REF!,"AAAAAHv/Xww=")</f>
        <v>#REF!</v>
      </c>
      <c r="N64" t="e">
        <f>AND(#REF!,"AAAAAHv/Xw0=")</f>
        <v>#REF!</v>
      </c>
      <c r="O64" t="e">
        <f>AND(#REF!,"AAAAAHv/Xw4=")</f>
        <v>#REF!</v>
      </c>
      <c r="P64" t="e">
        <f>AND(#REF!,"AAAAAHv/Xw8=")</f>
        <v>#REF!</v>
      </c>
      <c r="Q64" t="e">
        <f>AND(#REF!,"AAAAAHv/XxA=")</f>
        <v>#REF!</v>
      </c>
      <c r="R64" t="e">
        <f>AND(#REF!,"AAAAAHv/XxE=")</f>
        <v>#REF!</v>
      </c>
      <c r="S64" t="e">
        <f>AND(#REF!,"AAAAAHv/XxI=")</f>
        <v>#REF!</v>
      </c>
      <c r="T64" t="e">
        <f>AND(#REF!,"AAAAAHv/XxM=")</f>
        <v>#REF!</v>
      </c>
      <c r="U64" t="e">
        <f>AND(#REF!,"AAAAAHv/XxQ=")</f>
        <v>#REF!</v>
      </c>
      <c r="V64" t="e">
        <f>AND(#REF!,"AAAAAHv/XxU=")</f>
        <v>#REF!</v>
      </c>
      <c r="W64" t="e">
        <f>AND(#REF!,"AAAAAHv/XxY=")</f>
        <v>#REF!</v>
      </c>
      <c r="X64" t="e">
        <f>AND(#REF!,"AAAAAHv/Xxc=")</f>
        <v>#REF!</v>
      </c>
      <c r="Y64" t="e">
        <f>AND(#REF!,"AAAAAHv/Xxg=")</f>
        <v>#REF!</v>
      </c>
      <c r="Z64" t="e">
        <f>AND(#REF!,"AAAAAHv/Xxk=")</f>
        <v>#REF!</v>
      </c>
      <c r="AA64" t="e">
        <f>AND(#REF!,"AAAAAHv/Xxo=")</f>
        <v>#REF!</v>
      </c>
      <c r="AB64" t="e">
        <f>AND(#REF!,"AAAAAHv/Xxs=")</f>
        <v>#REF!</v>
      </c>
      <c r="AC64" t="e">
        <f>AND(#REF!,"AAAAAHv/Xxw=")</f>
        <v>#REF!</v>
      </c>
      <c r="AD64" t="e">
        <f>AND(#REF!,"AAAAAHv/Xx0=")</f>
        <v>#REF!</v>
      </c>
      <c r="AE64" t="e">
        <f>AND(#REF!,"AAAAAHv/Xx4=")</f>
        <v>#REF!</v>
      </c>
      <c r="AF64" t="e">
        <f>AND(#REF!,"AAAAAHv/Xx8=")</f>
        <v>#REF!</v>
      </c>
      <c r="AG64" t="e">
        <f>AND(#REF!,"AAAAAHv/XyA=")</f>
        <v>#REF!</v>
      </c>
      <c r="AH64" t="e">
        <f>AND(#REF!,"AAAAAHv/XyE=")</f>
        <v>#REF!</v>
      </c>
      <c r="AI64" t="e">
        <f>IF(#REF!,"AAAAAHv/XyI=",0)</f>
        <v>#REF!</v>
      </c>
      <c r="AJ64" t="e">
        <f>AND(#REF!,"AAAAAHv/XyM=")</f>
        <v>#REF!</v>
      </c>
      <c r="AK64" t="e">
        <f>AND(#REF!,"AAAAAHv/XyQ=")</f>
        <v>#REF!</v>
      </c>
      <c r="AL64" t="e">
        <f>AND(#REF!,"AAAAAHv/XyU=")</f>
        <v>#REF!</v>
      </c>
      <c r="AM64" t="e">
        <f>AND(#REF!,"AAAAAHv/XyY=")</f>
        <v>#REF!</v>
      </c>
      <c r="AN64" t="e">
        <f>AND(#REF!,"AAAAAHv/Xyc=")</f>
        <v>#REF!</v>
      </c>
      <c r="AO64" t="e">
        <f>AND(#REF!,"AAAAAHv/Xyg=")</f>
        <v>#REF!</v>
      </c>
      <c r="AP64" t="e">
        <f>AND(#REF!,"AAAAAHv/Xyk=")</f>
        <v>#REF!</v>
      </c>
      <c r="AQ64" t="e">
        <f>AND(#REF!,"AAAAAHv/Xyo=")</f>
        <v>#REF!</v>
      </c>
      <c r="AR64" t="e">
        <f>AND(#REF!,"AAAAAHv/Xys=")</f>
        <v>#REF!</v>
      </c>
      <c r="AS64" t="e">
        <f>AND(#REF!,"AAAAAHv/Xyw=")</f>
        <v>#REF!</v>
      </c>
      <c r="AT64" t="e">
        <f>AND(#REF!,"AAAAAHv/Xy0=")</f>
        <v>#REF!</v>
      </c>
      <c r="AU64" t="e">
        <f>AND(#REF!,"AAAAAHv/Xy4=")</f>
        <v>#REF!</v>
      </c>
      <c r="AV64" t="e">
        <f>AND(#REF!,"AAAAAHv/Xy8=")</f>
        <v>#REF!</v>
      </c>
      <c r="AW64" t="e">
        <f>AND(#REF!,"AAAAAHv/XzA=")</f>
        <v>#REF!</v>
      </c>
      <c r="AX64" t="e">
        <f>AND(#REF!,"AAAAAHv/XzE=")</f>
        <v>#REF!</v>
      </c>
      <c r="AY64" t="e">
        <f>AND(#REF!,"AAAAAHv/XzI=")</f>
        <v>#REF!</v>
      </c>
      <c r="AZ64" t="e">
        <f>AND(#REF!,"AAAAAHv/XzM=")</f>
        <v>#REF!</v>
      </c>
      <c r="BA64" t="e">
        <f>AND(#REF!,"AAAAAHv/XzQ=")</f>
        <v>#REF!</v>
      </c>
      <c r="BB64" t="e">
        <f>AND(#REF!,"AAAAAHv/XzU=")</f>
        <v>#REF!</v>
      </c>
      <c r="BC64" t="e">
        <f>AND(#REF!,"AAAAAHv/XzY=")</f>
        <v>#REF!</v>
      </c>
      <c r="BD64" t="e">
        <f>AND(#REF!,"AAAAAHv/Xzc=")</f>
        <v>#REF!</v>
      </c>
      <c r="BE64" t="e">
        <f>AND(#REF!,"AAAAAHv/Xzg=")</f>
        <v>#REF!</v>
      </c>
      <c r="BF64" t="e">
        <f>AND(#REF!,"AAAAAHv/Xzk=")</f>
        <v>#REF!</v>
      </c>
      <c r="BG64" t="e">
        <f>AND(#REF!,"AAAAAHv/Xzo=")</f>
        <v>#REF!</v>
      </c>
      <c r="BH64" t="e">
        <f>AND(#REF!,"AAAAAHv/Xzs=")</f>
        <v>#REF!</v>
      </c>
      <c r="BI64" t="e">
        <f>AND(#REF!,"AAAAAHv/Xzw=")</f>
        <v>#REF!</v>
      </c>
      <c r="BJ64" t="e">
        <f>IF(#REF!,"AAAAAHv/Xz0=",0)</f>
        <v>#REF!</v>
      </c>
      <c r="BK64" t="e">
        <f>AND(#REF!,"AAAAAHv/Xz4=")</f>
        <v>#REF!</v>
      </c>
      <c r="BL64" t="e">
        <f>AND(#REF!,"AAAAAHv/Xz8=")</f>
        <v>#REF!</v>
      </c>
      <c r="BM64" t="e">
        <f>AND(#REF!,"AAAAAHv/X0A=")</f>
        <v>#REF!</v>
      </c>
      <c r="BN64" t="e">
        <f>AND(#REF!,"AAAAAHv/X0E=")</f>
        <v>#REF!</v>
      </c>
      <c r="BO64" t="e">
        <f>AND(#REF!,"AAAAAHv/X0I=")</f>
        <v>#REF!</v>
      </c>
      <c r="BP64" t="e">
        <f>AND(#REF!,"AAAAAHv/X0M=")</f>
        <v>#REF!</v>
      </c>
      <c r="BQ64" t="e">
        <f>AND(#REF!,"AAAAAHv/X0Q=")</f>
        <v>#REF!</v>
      </c>
      <c r="BR64" t="e">
        <f>AND(#REF!,"AAAAAHv/X0U=")</f>
        <v>#REF!</v>
      </c>
      <c r="BS64" t="e">
        <f>AND(#REF!,"AAAAAHv/X0Y=")</f>
        <v>#REF!</v>
      </c>
      <c r="BT64" t="e">
        <f>AND(#REF!,"AAAAAHv/X0c=")</f>
        <v>#REF!</v>
      </c>
      <c r="BU64" t="e">
        <f>AND(#REF!,"AAAAAHv/X0g=")</f>
        <v>#REF!</v>
      </c>
      <c r="BV64" t="e">
        <f>AND(#REF!,"AAAAAHv/X0k=")</f>
        <v>#REF!</v>
      </c>
      <c r="BW64" t="e">
        <f>AND(#REF!,"AAAAAHv/X0o=")</f>
        <v>#REF!</v>
      </c>
      <c r="BX64" t="e">
        <f>AND(#REF!,"AAAAAHv/X0s=")</f>
        <v>#REF!</v>
      </c>
      <c r="BY64" t="e">
        <f>AND(#REF!,"AAAAAHv/X0w=")</f>
        <v>#REF!</v>
      </c>
      <c r="BZ64" t="e">
        <f>AND(#REF!,"AAAAAHv/X00=")</f>
        <v>#REF!</v>
      </c>
      <c r="CA64" t="e">
        <f>AND(#REF!,"AAAAAHv/X04=")</f>
        <v>#REF!</v>
      </c>
      <c r="CB64" t="e">
        <f>AND(#REF!,"AAAAAHv/X08=")</f>
        <v>#REF!</v>
      </c>
      <c r="CC64" t="e">
        <f>AND(#REF!,"AAAAAHv/X1A=")</f>
        <v>#REF!</v>
      </c>
      <c r="CD64" t="e">
        <f>AND(#REF!,"AAAAAHv/X1E=")</f>
        <v>#REF!</v>
      </c>
      <c r="CE64" t="e">
        <f>AND(#REF!,"AAAAAHv/X1I=")</f>
        <v>#REF!</v>
      </c>
      <c r="CF64" t="e">
        <f>AND(#REF!,"AAAAAHv/X1M=")</f>
        <v>#REF!</v>
      </c>
      <c r="CG64" t="e">
        <f>AND(#REF!,"AAAAAHv/X1Q=")</f>
        <v>#REF!</v>
      </c>
      <c r="CH64" t="e">
        <f>AND(#REF!,"AAAAAHv/X1U=")</f>
        <v>#REF!</v>
      </c>
      <c r="CI64" t="e">
        <f>AND(#REF!,"AAAAAHv/X1Y=")</f>
        <v>#REF!</v>
      </c>
      <c r="CJ64" t="e">
        <f>AND(#REF!,"AAAAAHv/X1c=")</f>
        <v>#REF!</v>
      </c>
      <c r="CK64" t="e">
        <f>IF(#REF!,"AAAAAHv/X1g=",0)</f>
        <v>#REF!</v>
      </c>
      <c r="CL64" t="e">
        <f>AND(#REF!,"AAAAAHv/X1k=")</f>
        <v>#REF!</v>
      </c>
      <c r="CM64" t="e">
        <f>AND(#REF!,"AAAAAHv/X1o=")</f>
        <v>#REF!</v>
      </c>
      <c r="CN64" t="e">
        <f>AND(#REF!,"AAAAAHv/X1s=")</f>
        <v>#REF!</v>
      </c>
      <c r="CO64" t="e">
        <f>AND(#REF!,"AAAAAHv/X1w=")</f>
        <v>#REF!</v>
      </c>
      <c r="CP64" t="e">
        <f>AND(#REF!,"AAAAAHv/X10=")</f>
        <v>#REF!</v>
      </c>
      <c r="CQ64" t="e">
        <f>AND(#REF!,"AAAAAHv/X14=")</f>
        <v>#REF!</v>
      </c>
      <c r="CR64" t="e">
        <f>AND(#REF!,"AAAAAHv/X18=")</f>
        <v>#REF!</v>
      </c>
      <c r="CS64" t="e">
        <f>AND(#REF!,"AAAAAHv/X2A=")</f>
        <v>#REF!</v>
      </c>
      <c r="CT64" t="e">
        <f>AND(#REF!,"AAAAAHv/X2E=")</f>
        <v>#REF!</v>
      </c>
      <c r="CU64" t="e">
        <f>AND(#REF!,"AAAAAHv/X2I=")</f>
        <v>#REF!</v>
      </c>
      <c r="CV64" t="e">
        <f>AND(#REF!,"AAAAAHv/X2M=")</f>
        <v>#REF!</v>
      </c>
      <c r="CW64" t="e">
        <f>AND(#REF!,"AAAAAHv/X2Q=")</f>
        <v>#REF!</v>
      </c>
      <c r="CX64" t="e">
        <f>AND(#REF!,"AAAAAHv/X2U=")</f>
        <v>#REF!</v>
      </c>
      <c r="CY64" t="e">
        <f>AND(#REF!,"AAAAAHv/X2Y=")</f>
        <v>#REF!</v>
      </c>
      <c r="CZ64" t="e">
        <f>AND(#REF!,"AAAAAHv/X2c=")</f>
        <v>#REF!</v>
      </c>
      <c r="DA64" t="e">
        <f>AND(#REF!,"AAAAAHv/X2g=")</f>
        <v>#REF!</v>
      </c>
      <c r="DB64" t="e">
        <f>AND(#REF!,"AAAAAHv/X2k=")</f>
        <v>#REF!</v>
      </c>
      <c r="DC64" t="e">
        <f>AND(#REF!,"AAAAAHv/X2o=")</f>
        <v>#REF!</v>
      </c>
      <c r="DD64" t="e">
        <f>AND(#REF!,"AAAAAHv/X2s=")</f>
        <v>#REF!</v>
      </c>
      <c r="DE64" t="e">
        <f>AND(#REF!,"AAAAAHv/X2w=")</f>
        <v>#REF!</v>
      </c>
      <c r="DF64" t="e">
        <f>AND(#REF!,"AAAAAHv/X20=")</f>
        <v>#REF!</v>
      </c>
      <c r="DG64" t="e">
        <f>AND(#REF!,"AAAAAHv/X24=")</f>
        <v>#REF!</v>
      </c>
      <c r="DH64" t="e">
        <f>AND(#REF!,"AAAAAHv/X28=")</f>
        <v>#REF!</v>
      </c>
      <c r="DI64" t="e">
        <f>AND(#REF!,"AAAAAHv/X3A=")</f>
        <v>#REF!</v>
      </c>
      <c r="DJ64" t="e">
        <f>AND(#REF!,"AAAAAHv/X3E=")</f>
        <v>#REF!</v>
      </c>
      <c r="DK64" t="e">
        <f>AND(#REF!,"AAAAAHv/X3I=")</f>
        <v>#REF!</v>
      </c>
      <c r="DL64" t="e">
        <f>IF(#REF!,"AAAAAHv/X3M=",0)</f>
        <v>#REF!</v>
      </c>
      <c r="DM64" t="e">
        <f>AND(#REF!,"AAAAAHv/X3Q=")</f>
        <v>#REF!</v>
      </c>
      <c r="DN64" t="e">
        <f>AND(#REF!,"AAAAAHv/X3U=")</f>
        <v>#REF!</v>
      </c>
      <c r="DO64" t="e">
        <f>AND(#REF!,"AAAAAHv/X3Y=")</f>
        <v>#REF!</v>
      </c>
      <c r="DP64" t="e">
        <f>AND(#REF!,"AAAAAHv/X3c=")</f>
        <v>#REF!</v>
      </c>
      <c r="DQ64" t="e">
        <f>AND(#REF!,"AAAAAHv/X3g=")</f>
        <v>#REF!</v>
      </c>
      <c r="DR64" t="e">
        <f>AND(#REF!,"AAAAAHv/X3k=")</f>
        <v>#REF!</v>
      </c>
      <c r="DS64" t="e">
        <f>AND(#REF!,"AAAAAHv/X3o=")</f>
        <v>#REF!</v>
      </c>
      <c r="DT64" t="e">
        <f>AND(#REF!,"AAAAAHv/X3s=")</f>
        <v>#REF!</v>
      </c>
      <c r="DU64" t="e">
        <f>AND(#REF!,"AAAAAHv/X3w=")</f>
        <v>#REF!</v>
      </c>
      <c r="DV64" t="e">
        <f>AND(#REF!,"AAAAAHv/X30=")</f>
        <v>#REF!</v>
      </c>
      <c r="DW64" t="e">
        <f>AND(#REF!,"AAAAAHv/X34=")</f>
        <v>#REF!</v>
      </c>
      <c r="DX64" t="e">
        <f>AND(#REF!,"AAAAAHv/X38=")</f>
        <v>#REF!</v>
      </c>
      <c r="DY64" t="e">
        <f>AND(#REF!,"AAAAAHv/X4A=")</f>
        <v>#REF!</v>
      </c>
      <c r="DZ64" t="e">
        <f>AND(#REF!,"AAAAAHv/X4E=")</f>
        <v>#REF!</v>
      </c>
      <c r="EA64" t="e">
        <f>AND(#REF!,"AAAAAHv/X4I=")</f>
        <v>#REF!</v>
      </c>
      <c r="EB64" t="e">
        <f>AND(#REF!,"AAAAAHv/X4M=")</f>
        <v>#REF!</v>
      </c>
      <c r="EC64" t="e">
        <f>AND(#REF!,"AAAAAHv/X4Q=")</f>
        <v>#REF!</v>
      </c>
      <c r="ED64" t="e">
        <f>AND(#REF!,"AAAAAHv/X4U=")</f>
        <v>#REF!</v>
      </c>
      <c r="EE64" t="e">
        <f>AND(#REF!,"AAAAAHv/X4Y=")</f>
        <v>#REF!</v>
      </c>
      <c r="EF64" t="e">
        <f>AND(#REF!,"AAAAAHv/X4c=")</f>
        <v>#REF!</v>
      </c>
      <c r="EG64" t="e">
        <f>AND(#REF!,"AAAAAHv/X4g=")</f>
        <v>#REF!</v>
      </c>
      <c r="EH64" t="e">
        <f>AND(#REF!,"AAAAAHv/X4k=")</f>
        <v>#REF!</v>
      </c>
      <c r="EI64" t="e">
        <f>AND(#REF!,"AAAAAHv/X4o=")</f>
        <v>#REF!</v>
      </c>
      <c r="EJ64" t="e">
        <f>AND(#REF!,"AAAAAHv/X4s=")</f>
        <v>#REF!</v>
      </c>
      <c r="EK64" t="e">
        <f>AND(#REF!,"AAAAAHv/X4w=")</f>
        <v>#REF!</v>
      </c>
      <c r="EL64" t="e">
        <f>AND(#REF!,"AAAAAHv/X40=")</f>
        <v>#REF!</v>
      </c>
      <c r="EM64" t="e">
        <f>IF(#REF!,"AAAAAHv/X44=",0)</f>
        <v>#REF!</v>
      </c>
      <c r="EN64" t="e">
        <f>AND(#REF!,"AAAAAHv/X48=")</f>
        <v>#REF!</v>
      </c>
      <c r="EO64" t="e">
        <f>AND(#REF!,"AAAAAHv/X5A=")</f>
        <v>#REF!</v>
      </c>
      <c r="EP64" t="e">
        <f>AND(#REF!,"AAAAAHv/X5E=")</f>
        <v>#REF!</v>
      </c>
      <c r="EQ64" t="e">
        <f>AND(#REF!,"AAAAAHv/X5I=")</f>
        <v>#REF!</v>
      </c>
      <c r="ER64" t="e">
        <f>AND(#REF!,"AAAAAHv/X5M=")</f>
        <v>#REF!</v>
      </c>
      <c r="ES64" t="e">
        <f>AND(#REF!,"AAAAAHv/X5Q=")</f>
        <v>#REF!</v>
      </c>
      <c r="ET64" t="e">
        <f>AND(#REF!,"AAAAAHv/X5U=")</f>
        <v>#REF!</v>
      </c>
      <c r="EU64" t="e">
        <f>AND(#REF!,"AAAAAHv/X5Y=")</f>
        <v>#REF!</v>
      </c>
      <c r="EV64" t="e">
        <f>AND(#REF!,"AAAAAHv/X5c=")</f>
        <v>#REF!</v>
      </c>
      <c r="EW64" t="e">
        <f>AND(#REF!,"AAAAAHv/X5g=")</f>
        <v>#REF!</v>
      </c>
      <c r="EX64" t="e">
        <f>AND(#REF!,"AAAAAHv/X5k=")</f>
        <v>#REF!</v>
      </c>
      <c r="EY64" t="e">
        <f>AND(#REF!,"AAAAAHv/X5o=")</f>
        <v>#REF!</v>
      </c>
      <c r="EZ64" t="e">
        <f>AND(#REF!,"AAAAAHv/X5s=")</f>
        <v>#REF!</v>
      </c>
      <c r="FA64" t="e">
        <f>AND(#REF!,"AAAAAHv/X5w=")</f>
        <v>#REF!</v>
      </c>
      <c r="FB64" t="e">
        <f>AND(#REF!,"AAAAAHv/X50=")</f>
        <v>#REF!</v>
      </c>
      <c r="FC64" t="e">
        <f>AND(#REF!,"AAAAAHv/X54=")</f>
        <v>#REF!</v>
      </c>
      <c r="FD64" t="e">
        <f>AND(#REF!,"AAAAAHv/X58=")</f>
        <v>#REF!</v>
      </c>
      <c r="FE64" t="e">
        <f>AND(#REF!,"AAAAAHv/X6A=")</f>
        <v>#REF!</v>
      </c>
      <c r="FF64" t="e">
        <f>AND(#REF!,"AAAAAHv/X6E=")</f>
        <v>#REF!</v>
      </c>
      <c r="FG64" t="e">
        <f>AND(#REF!,"AAAAAHv/X6I=")</f>
        <v>#REF!</v>
      </c>
      <c r="FH64" t="e">
        <f>AND(#REF!,"AAAAAHv/X6M=")</f>
        <v>#REF!</v>
      </c>
      <c r="FI64" t="e">
        <f>AND(#REF!,"AAAAAHv/X6Q=")</f>
        <v>#REF!</v>
      </c>
      <c r="FJ64" t="e">
        <f>AND(#REF!,"AAAAAHv/X6U=")</f>
        <v>#REF!</v>
      </c>
      <c r="FK64" t="e">
        <f>AND(#REF!,"AAAAAHv/X6Y=")</f>
        <v>#REF!</v>
      </c>
      <c r="FL64" t="e">
        <f>AND(#REF!,"AAAAAHv/X6c=")</f>
        <v>#REF!</v>
      </c>
      <c r="FM64" t="e">
        <f>AND(#REF!,"AAAAAHv/X6g=")</f>
        <v>#REF!</v>
      </c>
      <c r="FN64" t="e">
        <f>IF(#REF!,"AAAAAHv/X6k=",0)</f>
        <v>#REF!</v>
      </c>
      <c r="FO64" t="e">
        <f>AND(#REF!,"AAAAAHv/X6o=")</f>
        <v>#REF!</v>
      </c>
      <c r="FP64" t="e">
        <f>AND(#REF!,"AAAAAHv/X6s=")</f>
        <v>#REF!</v>
      </c>
      <c r="FQ64" t="e">
        <f>AND(#REF!,"AAAAAHv/X6w=")</f>
        <v>#REF!</v>
      </c>
      <c r="FR64" t="e">
        <f>AND(#REF!,"AAAAAHv/X60=")</f>
        <v>#REF!</v>
      </c>
      <c r="FS64" t="e">
        <f>AND(#REF!,"AAAAAHv/X64=")</f>
        <v>#REF!</v>
      </c>
      <c r="FT64" t="e">
        <f>AND(#REF!,"AAAAAHv/X68=")</f>
        <v>#REF!</v>
      </c>
      <c r="FU64" t="e">
        <f>AND(#REF!,"AAAAAHv/X7A=")</f>
        <v>#REF!</v>
      </c>
      <c r="FV64" t="e">
        <f>AND(#REF!,"AAAAAHv/X7E=")</f>
        <v>#REF!</v>
      </c>
      <c r="FW64" t="e">
        <f>AND(#REF!,"AAAAAHv/X7I=")</f>
        <v>#REF!</v>
      </c>
      <c r="FX64" t="e">
        <f>AND(#REF!,"AAAAAHv/X7M=")</f>
        <v>#REF!</v>
      </c>
      <c r="FY64" t="e">
        <f>AND(#REF!,"AAAAAHv/X7Q=")</f>
        <v>#REF!</v>
      </c>
      <c r="FZ64" t="e">
        <f>AND(#REF!,"AAAAAHv/X7U=")</f>
        <v>#REF!</v>
      </c>
      <c r="GA64" t="e">
        <f>AND(#REF!,"AAAAAHv/X7Y=")</f>
        <v>#REF!</v>
      </c>
      <c r="GB64" t="e">
        <f>AND(#REF!,"AAAAAHv/X7c=")</f>
        <v>#REF!</v>
      </c>
      <c r="GC64" t="e">
        <f>AND(#REF!,"AAAAAHv/X7g=")</f>
        <v>#REF!</v>
      </c>
      <c r="GD64" t="e">
        <f>AND(#REF!,"AAAAAHv/X7k=")</f>
        <v>#REF!</v>
      </c>
      <c r="GE64" t="e">
        <f>AND(#REF!,"AAAAAHv/X7o=")</f>
        <v>#REF!</v>
      </c>
      <c r="GF64" t="e">
        <f>AND(#REF!,"AAAAAHv/X7s=")</f>
        <v>#REF!</v>
      </c>
      <c r="GG64" t="e">
        <f>AND(#REF!,"AAAAAHv/X7w=")</f>
        <v>#REF!</v>
      </c>
      <c r="GH64" t="e">
        <f>AND(#REF!,"AAAAAHv/X70=")</f>
        <v>#REF!</v>
      </c>
      <c r="GI64" t="e">
        <f>AND(#REF!,"AAAAAHv/X74=")</f>
        <v>#REF!</v>
      </c>
      <c r="GJ64" t="e">
        <f>AND(#REF!,"AAAAAHv/X78=")</f>
        <v>#REF!</v>
      </c>
      <c r="GK64" t="e">
        <f>AND(#REF!,"AAAAAHv/X8A=")</f>
        <v>#REF!</v>
      </c>
      <c r="GL64" t="e">
        <f>AND(#REF!,"AAAAAHv/X8E=")</f>
        <v>#REF!</v>
      </c>
      <c r="GM64" t="e">
        <f>AND(#REF!,"AAAAAHv/X8I=")</f>
        <v>#REF!</v>
      </c>
      <c r="GN64" t="e">
        <f>AND(#REF!,"AAAAAHv/X8M=")</f>
        <v>#REF!</v>
      </c>
      <c r="GO64" t="e">
        <f>IF(#REF!,"AAAAAHv/X8Q=",0)</f>
        <v>#REF!</v>
      </c>
      <c r="GP64" t="e">
        <f>AND(#REF!,"AAAAAHv/X8U=")</f>
        <v>#REF!</v>
      </c>
      <c r="GQ64" t="e">
        <f>AND(#REF!,"AAAAAHv/X8Y=")</f>
        <v>#REF!</v>
      </c>
      <c r="GR64" t="e">
        <f>AND(#REF!,"AAAAAHv/X8c=")</f>
        <v>#REF!</v>
      </c>
      <c r="GS64" t="e">
        <f>AND(#REF!,"AAAAAHv/X8g=")</f>
        <v>#REF!</v>
      </c>
      <c r="GT64" t="e">
        <f>AND(#REF!,"AAAAAHv/X8k=")</f>
        <v>#REF!</v>
      </c>
      <c r="GU64" t="e">
        <f>AND(#REF!,"AAAAAHv/X8o=")</f>
        <v>#REF!</v>
      </c>
      <c r="GV64" t="e">
        <f>AND(#REF!,"AAAAAHv/X8s=")</f>
        <v>#REF!</v>
      </c>
      <c r="GW64" t="e">
        <f>AND(#REF!,"AAAAAHv/X8w=")</f>
        <v>#REF!</v>
      </c>
      <c r="GX64" t="e">
        <f>AND(#REF!,"AAAAAHv/X80=")</f>
        <v>#REF!</v>
      </c>
      <c r="GY64" t="e">
        <f>AND(#REF!,"AAAAAHv/X84=")</f>
        <v>#REF!</v>
      </c>
      <c r="GZ64" t="e">
        <f>AND(#REF!,"AAAAAHv/X88=")</f>
        <v>#REF!</v>
      </c>
      <c r="HA64" t="e">
        <f>AND(#REF!,"AAAAAHv/X9A=")</f>
        <v>#REF!</v>
      </c>
      <c r="HB64" t="e">
        <f>AND(#REF!,"AAAAAHv/X9E=")</f>
        <v>#REF!</v>
      </c>
      <c r="HC64" t="e">
        <f>AND(#REF!,"AAAAAHv/X9I=")</f>
        <v>#REF!</v>
      </c>
      <c r="HD64" t="e">
        <f>AND(#REF!,"AAAAAHv/X9M=")</f>
        <v>#REF!</v>
      </c>
      <c r="HE64" t="e">
        <f>AND(#REF!,"AAAAAHv/X9Q=")</f>
        <v>#REF!</v>
      </c>
      <c r="HF64" t="e">
        <f>AND(#REF!,"AAAAAHv/X9U=")</f>
        <v>#REF!</v>
      </c>
      <c r="HG64" t="e">
        <f>AND(#REF!,"AAAAAHv/X9Y=")</f>
        <v>#REF!</v>
      </c>
      <c r="HH64" t="e">
        <f>AND(#REF!,"AAAAAHv/X9c=")</f>
        <v>#REF!</v>
      </c>
      <c r="HI64" t="e">
        <f>AND(#REF!,"AAAAAHv/X9g=")</f>
        <v>#REF!</v>
      </c>
      <c r="HJ64" t="e">
        <f>AND(#REF!,"AAAAAHv/X9k=")</f>
        <v>#REF!</v>
      </c>
      <c r="HK64" t="e">
        <f>AND(#REF!,"AAAAAHv/X9o=")</f>
        <v>#REF!</v>
      </c>
      <c r="HL64" t="e">
        <f>AND(#REF!,"AAAAAHv/X9s=")</f>
        <v>#REF!</v>
      </c>
      <c r="HM64" t="e">
        <f>AND(#REF!,"AAAAAHv/X9w=")</f>
        <v>#REF!</v>
      </c>
      <c r="HN64" t="e">
        <f>AND(#REF!,"AAAAAHv/X90=")</f>
        <v>#REF!</v>
      </c>
      <c r="HO64" t="e">
        <f>AND(#REF!,"AAAAAHv/X94=")</f>
        <v>#REF!</v>
      </c>
      <c r="HP64" t="e">
        <f>IF(#REF!,"AAAAAHv/X98=",0)</f>
        <v>#REF!</v>
      </c>
      <c r="HQ64" t="e">
        <f>AND(#REF!,"AAAAAHv/X+A=")</f>
        <v>#REF!</v>
      </c>
      <c r="HR64" t="e">
        <f>AND(#REF!,"AAAAAHv/X+E=")</f>
        <v>#REF!</v>
      </c>
      <c r="HS64" t="e">
        <f>AND(#REF!,"AAAAAHv/X+I=")</f>
        <v>#REF!</v>
      </c>
      <c r="HT64" t="e">
        <f>AND(#REF!,"AAAAAHv/X+M=")</f>
        <v>#REF!</v>
      </c>
      <c r="HU64" t="e">
        <f>AND(#REF!,"AAAAAHv/X+Q=")</f>
        <v>#REF!</v>
      </c>
      <c r="HV64" t="e">
        <f>AND(#REF!,"AAAAAHv/X+U=")</f>
        <v>#REF!</v>
      </c>
      <c r="HW64" t="e">
        <f>AND(#REF!,"AAAAAHv/X+Y=")</f>
        <v>#REF!</v>
      </c>
      <c r="HX64" t="e">
        <f>AND(#REF!,"AAAAAHv/X+c=")</f>
        <v>#REF!</v>
      </c>
      <c r="HY64" t="e">
        <f>AND(#REF!,"AAAAAHv/X+g=")</f>
        <v>#REF!</v>
      </c>
      <c r="HZ64" t="e">
        <f>AND(#REF!,"AAAAAHv/X+k=")</f>
        <v>#REF!</v>
      </c>
      <c r="IA64" t="e">
        <f>AND(#REF!,"AAAAAHv/X+o=")</f>
        <v>#REF!</v>
      </c>
      <c r="IB64" t="e">
        <f>AND(#REF!,"AAAAAHv/X+s=")</f>
        <v>#REF!</v>
      </c>
      <c r="IC64" t="e">
        <f>AND(#REF!,"AAAAAHv/X+w=")</f>
        <v>#REF!</v>
      </c>
      <c r="ID64" t="e">
        <f>AND(#REF!,"AAAAAHv/X+0=")</f>
        <v>#REF!</v>
      </c>
      <c r="IE64" t="e">
        <f>AND(#REF!,"AAAAAHv/X+4=")</f>
        <v>#REF!</v>
      </c>
      <c r="IF64" t="e">
        <f>AND(#REF!,"AAAAAHv/X+8=")</f>
        <v>#REF!</v>
      </c>
      <c r="IG64" t="e">
        <f>AND(#REF!,"AAAAAHv/X/A=")</f>
        <v>#REF!</v>
      </c>
      <c r="IH64" t="e">
        <f>AND(#REF!,"AAAAAHv/X/E=")</f>
        <v>#REF!</v>
      </c>
      <c r="II64" t="e">
        <f>AND(#REF!,"AAAAAHv/X/I=")</f>
        <v>#REF!</v>
      </c>
      <c r="IJ64" t="e">
        <f>AND(#REF!,"AAAAAHv/X/M=")</f>
        <v>#REF!</v>
      </c>
      <c r="IK64" t="e">
        <f>AND(#REF!,"AAAAAHv/X/Q=")</f>
        <v>#REF!</v>
      </c>
      <c r="IL64" t="e">
        <f>AND(#REF!,"AAAAAHv/X/U=")</f>
        <v>#REF!</v>
      </c>
      <c r="IM64" t="e">
        <f>AND(#REF!,"AAAAAHv/X/Y=")</f>
        <v>#REF!</v>
      </c>
      <c r="IN64" t="e">
        <f>AND(#REF!,"AAAAAHv/X/c=")</f>
        <v>#REF!</v>
      </c>
      <c r="IO64" t="e">
        <f>AND(#REF!,"AAAAAHv/X/g=")</f>
        <v>#REF!</v>
      </c>
      <c r="IP64" t="e">
        <f>AND(#REF!,"AAAAAHv/X/k=")</f>
        <v>#REF!</v>
      </c>
      <c r="IQ64" t="e">
        <f>IF(#REF!,"AAAAAHv/X/o=",0)</f>
        <v>#REF!</v>
      </c>
      <c r="IR64" t="e">
        <f>AND(#REF!,"AAAAAHv/X/s=")</f>
        <v>#REF!</v>
      </c>
      <c r="IS64" t="e">
        <f>AND(#REF!,"AAAAAHv/X/w=")</f>
        <v>#REF!</v>
      </c>
      <c r="IT64" t="e">
        <f>AND(#REF!,"AAAAAHv/X/0=")</f>
        <v>#REF!</v>
      </c>
      <c r="IU64" t="e">
        <f>AND(#REF!,"AAAAAHv/X/4=")</f>
        <v>#REF!</v>
      </c>
      <c r="IV64" t="e">
        <f>AND(#REF!,"AAAAAHv/X/8=")</f>
        <v>#REF!</v>
      </c>
    </row>
    <row r="65" spans="1:256" x14ac:dyDescent="0.2">
      <c r="A65" t="e">
        <f>AND(#REF!,"AAAAAG/X3QA=")</f>
        <v>#REF!</v>
      </c>
      <c r="B65" t="e">
        <f>AND(#REF!,"AAAAAG/X3QE=")</f>
        <v>#REF!</v>
      </c>
      <c r="C65" t="e">
        <f>AND(#REF!,"AAAAAG/X3QI=")</f>
        <v>#REF!</v>
      </c>
      <c r="D65" t="e">
        <f>AND(#REF!,"AAAAAG/X3QM=")</f>
        <v>#REF!</v>
      </c>
      <c r="E65" t="e">
        <f>AND(#REF!,"AAAAAG/X3QQ=")</f>
        <v>#REF!</v>
      </c>
      <c r="F65" t="e">
        <f>AND(#REF!,"AAAAAG/X3QU=")</f>
        <v>#REF!</v>
      </c>
      <c r="G65" t="e">
        <f>AND(#REF!,"AAAAAG/X3QY=")</f>
        <v>#REF!</v>
      </c>
      <c r="H65" t="e">
        <f>AND(#REF!,"AAAAAG/X3Qc=")</f>
        <v>#REF!</v>
      </c>
      <c r="I65" t="e">
        <f>AND(#REF!,"AAAAAG/X3Qg=")</f>
        <v>#REF!</v>
      </c>
      <c r="J65" t="e">
        <f>AND(#REF!,"AAAAAG/X3Qk=")</f>
        <v>#REF!</v>
      </c>
      <c r="K65" t="e">
        <f>AND(#REF!,"AAAAAG/X3Qo=")</f>
        <v>#REF!</v>
      </c>
      <c r="L65" t="e">
        <f>AND(#REF!,"AAAAAG/X3Qs=")</f>
        <v>#REF!</v>
      </c>
      <c r="M65" t="e">
        <f>AND(#REF!,"AAAAAG/X3Qw=")</f>
        <v>#REF!</v>
      </c>
      <c r="N65" t="e">
        <f>AND(#REF!,"AAAAAG/X3Q0=")</f>
        <v>#REF!</v>
      </c>
      <c r="O65" t="e">
        <f>AND(#REF!,"AAAAAG/X3Q4=")</f>
        <v>#REF!</v>
      </c>
      <c r="P65" t="e">
        <f>AND(#REF!,"AAAAAG/X3Q8=")</f>
        <v>#REF!</v>
      </c>
      <c r="Q65" t="e">
        <f>AND(#REF!,"AAAAAG/X3RA=")</f>
        <v>#REF!</v>
      </c>
      <c r="R65" t="e">
        <f>AND(#REF!,"AAAAAG/X3RE=")</f>
        <v>#REF!</v>
      </c>
      <c r="S65" t="e">
        <f>AND(#REF!,"AAAAAG/X3RI=")</f>
        <v>#REF!</v>
      </c>
      <c r="T65" t="e">
        <f>AND(#REF!,"AAAAAG/X3RM=")</f>
        <v>#REF!</v>
      </c>
      <c r="U65" t="e">
        <f>AND(#REF!,"AAAAAG/X3RQ=")</f>
        <v>#REF!</v>
      </c>
      <c r="V65" t="e">
        <f>IF(#REF!,"AAAAAG/X3RU=",0)</f>
        <v>#REF!</v>
      </c>
      <c r="W65" t="e">
        <f>AND(#REF!,"AAAAAG/X3RY=")</f>
        <v>#REF!</v>
      </c>
      <c r="X65" t="e">
        <f>AND(#REF!,"AAAAAG/X3Rc=")</f>
        <v>#REF!</v>
      </c>
      <c r="Y65" t="e">
        <f>AND(#REF!,"AAAAAG/X3Rg=")</f>
        <v>#REF!</v>
      </c>
      <c r="Z65" t="e">
        <f>AND(#REF!,"AAAAAG/X3Rk=")</f>
        <v>#REF!</v>
      </c>
      <c r="AA65" t="e">
        <f>AND(#REF!,"AAAAAG/X3Ro=")</f>
        <v>#REF!</v>
      </c>
      <c r="AB65" t="e">
        <f>AND(#REF!,"AAAAAG/X3Rs=")</f>
        <v>#REF!</v>
      </c>
      <c r="AC65" t="e">
        <f>AND(#REF!,"AAAAAG/X3Rw=")</f>
        <v>#REF!</v>
      </c>
      <c r="AD65" t="e">
        <f>AND(#REF!,"AAAAAG/X3R0=")</f>
        <v>#REF!</v>
      </c>
      <c r="AE65" t="e">
        <f>AND(#REF!,"AAAAAG/X3R4=")</f>
        <v>#REF!</v>
      </c>
      <c r="AF65" t="e">
        <f>AND(#REF!,"AAAAAG/X3R8=")</f>
        <v>#REF!</v>
      </c>
      <c r="AG65" t="e">
        <f>AND(#REF!,"AAAAAG/X3SA=")</f>
        <v>#REF!</v>
      </c>
      <c r="AH65" t="e">
        <f>AND(#REF!,"AAAAAG/X3SE=")</f>
        <v>#REF!</v>
      </c>
      <c r="AI65" t="e">
        <f>AND(#REF!,"AAAAAG/X3SI=")</f>
        <v>#REF!</v>
      </c>
      <c r="AJ65" t="e">
        <f>AND(#REF!,"AAAAAG/X3SM=")</f>
        <v>#REF!</v>
      </c>
      <c r="AK65" t="e">
        <f>AND(#REF!,"AAAAAG/X3SQ=")</f>
        <v>#REF!</v>
      </c>
      <c r="AL65" t="e">
        <f>AND(#REF!,"AAAAAG/X3SU=")</f>
        <v>#REF!</v>
      </c>
      <c r="AM65" t="e">
        <f>AND(#REF!,"AAAAAG/X3SY=")</f>
        <v>#REF!</v>
      </c>
      <c r="AN65" t="e">
        <f>AND(#REF!,"AAAAAG/X3Sc=")</f>
        <v>#REF!</v>
      </c>
      <c r="AO65" t="e">
        <f>AND(#REF!,"AAAAAG/X3Sg=")</f>
        <v>#REF!</v>
      </c>
      <c r="AP65" t="e">
        <f>AND(#REF!,"AAAAAG/X3Sk=")</f>
        <v>#REF!</v>
      </c>
      <c r="AQ65" t="e">
        <f>AND(#REF!,"AAAAAG/X3So=")</f>
        <v>#REF!</v>
      </c>
      <c r="AR65" t="e">
        <f>AND(#REF!,"AAAAAG/X3Ss=")</f>
        <v>#REF!</v>
      </c>
      <c r="AS65" t="e">
        <f>AND(#REF!,"AAAAAG/X3Sw=")</f>
        <v>#REF!</v>
      </c>
      <c r="AT65" t="e">
        <f>AND(#REF!,"AAAAAG/X3S0=")</f>
        <v>#REF!</v>
      </c>
      <c r="AU65" t="e">
        <f>AND(#REF!,"AAAAAG/X3S4=")</f>
        <v>#REF!</v>
      </c>
      <c r="AV65" t="e">
        <f>AND(#REF!,"AAAAAG/X3S8=")</f>
        <v>#REF!</v>
      </c>
      <c r="AW65" t="e">
        <f>IF(#REF!,"AAAAAG/X3TA=",0)</f>
        <v>#REF!</v>
      </c>
      <c r="AX65" t="e">
        <f>AND(#REF!,"AAAAAG/X3TE=")</f>
        <v>#REF!</v>
      </c>
      <c r="AY65" t="e">
        <f>AND(#REF!,"AAAAAG/X3TI=")</f>
        <v>#REF!</v>
      </c>
      <c r="AZ65" t="e">
        <f>AND(#REF!,"AAAAAG/X3TM=")</f>
        <v>#REF!</v>
      </c>
      <c r="BA65" t="e">
        <f>AND(#REF!,"AAAAAG/X3TQ=")</f>
        <v>#REF!</v>
      </c>
      <c r="BB65" t="e">
        <f>AND(#REF!,"AAAAAG/X3TU=")</f>
        <v>#REF!</v>
      </c>
      <c r="BC65" t="e">
        <f>AND(#REF!,"AAAAAG/X3TY=")</f>
        <v>#REF!</v>
      </c>
      <c r="BD65" t="e">
        <f>AND(#REF!,"AAAAAG/X3Tc=")</f>
        <v>#REF!</v>
      </c>
      <c r="BE65" t="e">
        <f>AND(#REF!,"AAAAAG/X3Tg=")</f>
        <v>#REF!</v>
      </c>
      <c r="BF65" t="e">
        <f>AND(#REF!,"AAAAAG/X3Tk=")</f>
        <v>#REF!</v>
      </c>
      <c r="BG65" t="e">
        <f>AND(#REF!,"AAAAAG/X3To=")</f>
        <v>#REF!</v>
      </c>
      <c r="BH65" t="e">
        <f>AND(#REF!,"AAAAAG/X3Ts=")</f>
        <v>#REF!</v>
      </c>
      <c r="BI65" t="e">
        <f>AND(#REF!,"AAAAAG/X3Tw=")</f>
        <v>#REF!</v>
      </c>
      <c r="BJ65" t="e">
        <f>AND(#REF!,"AAAAAG/X3T0=")</f>
        <v>#REF!</v>
      </c>
      <c r="BK65" t="e">
        <f>AND(#REF!,"AAAAAG/X3T4=")</f>
        <v>#REF!</v>
      </c>
      <c r="BL65" t="e">
        <f>AND(#REF!,"AAAAAG/X3T8=")</f>
        <v>#REF!</v>
      </c>
      <c r="BM65" t="e">
        <f>AND(#REF!,"AAAAAG/X3UA=")</f>
        <v>#REF!</v>
      </c>
      <c r="BN65" t="e">
        <f>AND(#REF!,"AAAAAG/X3UE=")</f>
        <v>#REF!</v>
      </c>
      <c r="BO65" t="e">
        <f>AND(#REF!,"AAAAAG/X3UI=")</f>
        <v>#REF!</v>
      </c>
      <c r="BP65" t="e">
        <f>AND(#REF!,"AAAAAG/X3UM=")</f>
        <v>#REF!</v>
      </c>
      <c r="BQ65" t="e">
        <f>AND(#REF!,"AAAAAG/X3UQ=")</f>
        <v>#REF!</v>
      </c>
      <c r="BR65" t="e">
        <f>AND(#REF!,"AAAAAG/X3UU=")</f>
        <v>#REF!</v>
      </c>
      <c r="BS65" t="e">
        <f>AND(#REF!,"AAAAAG/X3UY=")</f>
        <v>#REF!</v>
      </c>
      <c r="BT65" t="e">
        <f>AND(#REF!,"AAAAAG/X3Uc=")</f>
        <v>#REF!</v>
      </c>
      <c r="BU65" t="e">
        <f>AND(#REF!,"AAAAAG/X3Ug=")</f>
        <v>#REF!</v>
      </c>
      <c r="BV65" t="e">
        <f>AND(#REF!,"AAAAAG/X3Uk=")</f>
        <v>#REF!</v>
      </c>
      <c r="BW65" t="e">
        <f>AND(#REF!,"AAAAAG/X3Uo=")</f>
        <v>#REF!</v>
      </c>
      <c r="BX65" t="e">
        <f>IF(#REF!,"AAAAAG/X3Us=",0)</f>
        <v>#REF!</v>
      </c>
      <c r="BY65" t="e">
        <f>AND(#REF!,"AAAAAG/X3Uw=")</f>
        <v>#REF!</v>
      </c>
      <c r="BZ65" t="e">
        <f>AND(#REF!,"AAAAAG/X3U0=")</f>
        <v>#REF!</v>
      </c>
      <c r="CA65" t="e">
        <f>AND(#REF!,"AAAAAG/X3U4=")</f>
        <v>#REF!</v>
      </c>
      <c r="CB65" t="e">
        <f>AND(#REF!,"AAAAAG/X3U8=")</f>
        <v>#REF!</v>
      </c>
      <c r="CC65" t="e">
        <f>AND(#REF!,"AAAAAG/X3VA=")</f>
        <v>#REF!</v>
      </c>
      <c r="CD65" t="e">
        <f>AND(#REF!,"AAAAAG/X3VE=")</f>
        <v>#REF!</v>
      </c>
      <c r="CE65" t="e">
        <f>AND(#REF!,"AAAAAG/X3VI=")</f>
        <v>#REF!</v>
      </c>
      <c r="CF65" t="e">
        <f>AND(#REF!,"AAAAAG/X3VM=")</f>
        <v>#REF!</v>
      </c>
      <c r="CG65" t="e">
        <f>AND(#REF!,"AAAAAG/X3VQ=")</f>
        <v>#REF!</v>
      </c>
      <c r="CH65" t="e">
        <f>AND(#REF!,"AAAAAG/X3VU=")</f>
        <v>#REF!</v>
      </c>
      <c r="CI65" t="e">
        <f>AND(#REF!,"AAAAAG/X3VY=")</f>
        <v>#REF!</v>
      </c>
      <c r="CJ65" t="e">
        <f>AND(#REF!,"AAAAAG/X3Vc=")</f>
        <v>#REF!</v>
      </c>
      <c r="CK65" t="e">
        <f>AND(#REF!,"AAAAAG/X3Vg=")</f>
        <v>#REF!</v>
      </c>
      <c r="CL65" t="e">
        <f>AND(#REF!,"AAAAAG/X3Vk=")</f>
        <v>#REF!</v>
      </c>
      <c r="CM65" t="e">
        <f>AND(#REF!,"AAAAAG/X3Vo=")</f>
        <v>#REF!</v>
      </c>
      <c r="CN65" t="e">
        <f>AND(#REF!,"AAAAAG/X3Vs=")</f>
        <v>#REF!</v>
      </c>
      <c r="CO65" t="e">
        <f>AND(#REF!,"AAAAAG/X3Vw=")</f>
        <v>#REF!</v>
      </c>
      <c r="CP65" t="e">
        <f>AND(#REF!,"AAAAAG/X3V0=")</f>
        <v>#REF!</v>
      </c>
      <c r="CQ65" t="e">
        <f>AND(#REF!,"AAAAAG/X3V4=")</f>
        <v>#REF!</v>
      </c>
      <c r="CR65" t="e">
        <f>AND(#REF!,"AAAAAG/X3V8=")</f>
        <v>#REF!</v>
      </c>
      <c r="CS65" t="e">
        <f>AND(#REF!,"AAAAAG/X3WA=")</f>
        <v>#REF!</v>
      </c>
      <c r="CT65" t="e">
        <f>AND(#REF!,"AAAAAG/X3WE=")</f>
        <v>#REF!</v>
      </c>
      <c r="CU65" t="e">
        <f>AND(#REF!,"AAAAAG/X3WI=")</f>
        <v>#REF!</v>
      </c>
      <c r="CV65" t="e">
        <f>AND(#REF!,"AAAAAG/X3WM=")</f>
        <v>#REF!</v>
      </c>
      <c r="CW65" t="e">
        <f>AND(#REF!,"AAAAAG/X3WQ=")</f>
        <v>#REF!</v>
      </c>
      <c r="CX65" t="e">
        <f>AND(#REF!,"AAAAAG/X3WU=")</f>
        <v>#REF!</v>
      </c>
      <c r="CY65" t="e">
        <f>IF(#REF!,"AAAAAG/X3WY=",0)</f>
        <v>#REF!</v>
      </c>
      <c r="CZ65" t="e">
        <f>AND(#REF!,"AAAAAG/X3Wc=")</f>
        <v>#REF!</v>
      </c>
      <c r="DA65" t="e">
        <f>AND(#REF!,"AAAAAG/X3Wg=")</f>
        <v>#REF!</v>
      </c>
      <c r="DB65" t="e">
        <f>AND(#REF!,"AAAAAG/X3Wk=")</f>
        <v>#REF!</v>
      </c>
      <c r="DC65" t="e">
        <f>AND(#REF!,"AAAAAG/X3Wo=")</f>
        <v>#REF!</v>
      </c>
      <c r="DD65" t="e">
        <f>AND(#REF!,"AAAAAG/X3Ws=")</f>
        <v>#REF!</v>
      </c>
      <c r="DE65" t="e">
        <f>AND(#REF!,"AAAAAG/X3Ww=")</f>
        <v>#REF!</v>
      </c>
      <c r="DF65" t="e">
        <f>AND(#REF!,"AAAAAG/X3W0=")</f>
        <v>#REF!</v>
      </c>
      <c r="DG65" t="e">
        <f>AND(#REF!,"AAAAAG/X3W4=")</f>
        <v>#REF!</v>
      </c>
      <c r="DH65" t="e">
        <f>AND(#REF!,"AAAAAG/X3W8=")</f>
        <v>#REF!</v>
      </c>
      <c r="DI65" t="e">
        <f>AND(#REF!,"AAAAAG/X3XA=")</f>
        <v>#REF!</v>
      </c>
      <c r="DJ65" t="e">
        <f>AND(#REF!,"AAAAAG/X3XE=")</f>
        <v>#REF!</v>
      </c>
      <c r="DK65" t="e">
        <f>AND(#REF!,"AAAAAG/X3XI=")</f>
        <v>#REF!</v>
      </c>
      <c r="DL65" t="e">
        <f>AND(#REF!,"AAAAAG/X3XM=")</f>
        <v>#REF!</v>
      </c>
      <c r="DM65" t="e">
        <f>AND(#REF!,"AAAAAG/X3XQ=")</f>
        <v>#REF!</v>
      </c>
      <c r="DN65" t="e">
        <f>AND(#REF!,"AAAAAG/X3XU=")</f>
        <v>#REF!</v>
      </c>
      <c r="DO65" t="e">
        <f>AND(#REF!,"AAAAAG/X3XY=")</f>
        <v>#REF!</v>
      </c>
      <c r="DP65" t="e">
        <f>AND(#REF!,"AAAAAG/X3Xc=")</f>
        <v>#REF!</v>
      </c>
      <c r="DQ65" t="e">
        <f>AND(#REF!,"AAAAAG/X3Xg=")</f>
        <v>#REF!</v>
      </c>
      <c r="DR65" t="e">
        <f>AND(#REF!,"AAAAAG/X3Xk=")</f>
        <v>#REF!</v>
      </c>
      <c r="DS65" t="e">
        <f>AND(#REF!,"AAAAAG/X3Xo=")</f>
        <v>#REF!</v>
      </c>
      <c r="DT65" t="e">
        <f>AND(#REF!,"AAAAAG/X3Xs=")</f>
        <v>#REF!</v>
      </c>
      <c r="DU65" t="e">
        <f>AND(#REF!,"AAAAAG/X3Xw=")</f>
        <v>#REF!</v>
      </c>
      <c r="DV65" t="e">
        <f>AND(#REF!,"AAAAAG/X3X0=")</f>
        <v>#REF!</v>
      </c>
      <c r="DW65" t="e">
        <f>AND(#REF!,"AAAAAG/X3X4=")</f>
        <v>#REF!</v>
      </c>
      <c r="DX65" t="e">
        <f>AND(#REF!,"AAAAAG/X3X8=")</f>
        <v>#REF!</v>
      </c>
      <c r="DY65" t="e">
        <f>AND(#REF!,"AAAAAG/X3YA=")</f>
        <v>#REF!</v>
      </c>
      <c r="DZ65" t="e">
        <f>IF(#REF!,"AAAAAG/X3YE=",0)</f>
        <v>#REF!</v>
      </c>
      <c r="EA65" t="e">
        <f>AND(#REF!,"AAAAAG/X3YI=")</f>
        <v>#REF!</v>
      </c>
      <c r="EB65" t="e">
        <f>AND(#REF!,"AAAAAG/X3YM=")</f>
        <v>#REF!</v>
      </c>
      <c r="EC65" t="e">
        <f>AND(#REF!,"AAAAAG/X3YQ=")</f>
        <v>#REF!</v>
      </c>
      <c r="ED65" t="e">
        <f>AND(#REF!,"AAAAAG/X3YU=")</f>
        <v>#REF!</v>
      </c>
      <c r="EE65" t="e">
        <f>AND(#REF!,"AAAAAG/X3YY=")</f>
        <v>#REF!</v>
      </c>
      <c r="EF65" t="e">
        <f>AND(#REF!,"AAAAAG/X3Yc=")</f>
        <v>#REF!</v>
      </c>
      <c r="EG65" t="e">
        <f>AND(#REF!,"AAAAAG/X3Yg=")</f>
        <v>#REF!</v>
      </c>
      <c r="EH65" t="e">
        <f>AND(#REF!,"AAAAAG/X3Yk=")</f>
        <v>#REF!</v>
      </c>
      <c r="EI65" t="e">
        <f>AND(#REF!,"AAAAAG/X3Yo=")</f>
        <v>#REF!</v>
      </c>
      <c r="EJ65" t="e">
        <f>AND(#REF!,"AAAAAG/X3Ys=")</f>
        <v>#REF!</v>
      </c>
      <c r="EK65" t="e">
        <f>AND(#REF!,"AAAAAG/X3Yw=")</f>
        <v>#REF!</v>
      </c>
      <c r="EL65" t="e">
        <f>AND(#REF!,"AAAAAG/X3Y0=")</f>
        <v>#REF!</v>
      </c>
      <c r="EM65" t="e">
        <f>AND(#REF!,"AAAAAG/X3Y4=")</f>
        <v>#REF!</v>
      </c>
      <c r="EN65" t="e">
        <f>AND(#REF!,"AAAAAG/X3Y8=")</f>
        <v>#REF!</v>
      </c>
      <c r="EO65" t="e">
        <f>AND(#REF!,"AAAAAG/X3ZA=")</f>
        <v>#REF!</v>
      </c>
      <c r="EP65" t="e">
        <f>AND(#REF!,"AAAAAG/X3ZE=")</f>
        <v>#REF!</v>
      </c>
      <c r="EQ65" t="e">
        <f>AND(#REF!,"AAAAAG/X3ZI=")</f>
        <v>#REF!</v>
      </c>
      <c r="ER65" t="e">
        <f>AND(#REF!,"AAAAAG/X3ZM=")</f>
        <v>#REF!</v>
      </c>
      <c r="ES65" t="e">
        <f>AND(#REF!,"AAAAAG/X3ZQ=")</f>
        <v>#REF!</v>
      </c>
      <c r="ET65" t="e">
        <f>AND(#REF!,"AAAAAG/X3ZU=")</f>
        <v>#REF!</v>
      </c>
      <c r="EU65" t="e">
        <f>AND(#REF!,"AAAAAG/X3ZY=")</f>
        <v>#REF!</v>
      </c>
      <c r="EV65" t="e">
        <f>AND(#REF!,"AAAAAG/X3Zc=")</f>
        <v>#REF!</v>
      </c>
      <c r="EW65" t="e">
        <f>AND(#REF!,"AAAAAG/X3Zg=")</f>
        <v>#REF!</v>
      </c>
      <c r="EX65" t="e">
        <f>AND(#REF!,"AAAAAG/X3Zk=")</f>
        <v>#REF!</v>
      </c>
      <c r="EY65" t="e">
        <f>AND(#REF!,"AAAAAG/X3Zo=")</f>
        <v>#REF!</v>
      </c>
      <c r="EZ65" t="e">
        <f>AND(#REF!,"AAAAAG/X3Zs=")</f>
        <v>#REF!</v>
      </c>
      <c r="FA65" t="e">
        <f>IF(#REF!,"AAAAAG/X3Zw=",0)</f>
        <v>#REF!</v>
      </c>
      <c r="FB65" t="e">
        <f>AND(#REF!,"AAAAAG/X3Z0=")</f>
        <v>#REF!</v>
      </c>
      <c r="FC65" t="e">
        <f>AND(#REF!,"AAAAAG/X3Z4=")</f>
        <v>#REF!</v>
      </c>
      <c r="FD65" t="e">
        <f>AND(#REF!,"AAAAAG/X3Z8=")</f>
        <v>#REF!</v>
      </c>
      <c r="FE65" t="e">
        <f>AND(#REF!,"AAAAAG/X3aA=")</f>
        <v>#REF!</v>
      </c>
      <c r="FF65" t="e">
        <f>AND(#REF!,"AAAAAG/X3aE=")</f>
        <v>#REF!</v>
      </c>
      <c r="FG65" t="e">
        <f>AND(#REF!,"AAAAAG/X3aI=")</f>
        <v>#REF!</v>
      </c>
      <c r="FH65" t="e">
        <f>AND(#REF!,"AAAAAG/X3aM=")</f>
        <v>#REF!</v>
      </c>
      <c r="FI65" t="e">
        <f>AND(#REF!,"AAAAAG/X3aQ=")</f>
        <v>#REF!</v>
      </c>
      <c r="FJ65" t="e">
        <f>AND(#REF!,"AAAAAG/X3aU=")</f>
        <v>#REF!</v>
      </c>
      <c r="FK65" t="e">
        <f>AND(#REF!,"AAAAAG/X3aY=")</f>
        <v>#REF!</v>
      </c>
      <c r="FL65" t="e">
        <f>AND(#REF!,"AAAAAG/X3ac=")</f>
        <v>#REF!</v>
      </c>
      <c r="FM65" t="e">
        <f>AND(#REF!,"AAAAAG/X3ag=")</f>
        <v>#REF!</v>
      </c>
      <c r="FN65" t="e">
        <f>AND(#REF!,"AAAAAG/X3ak=")</f>
        <v>#REF!</v>
      </c>
      <c r="FO65" t="e">
        <f>AND(#REF!,"AAAAAG/X3ao=")</f>
        <v>#REF!</v>
      </c>
      <c r="FP65" t="e">
        <f>AND(#REF!,"AAAAAG/X3as=")</f>
        <v>#REF!</v>
      </c>
      <c r="FQ65" t="e">
        <f>AND(#REF!,"AAAAAG/X3aw=")</f>
        <v>#REF!</v>
      </c>
      <c r="FR65" t="e">
        <f>AND(#REF!,"AAAAAG/X3a0=")</f>
        <v>#REF!</v>
      </c>
      <c r="FS65" t="e">
        <f>AND(#REF!,"AAAAAG/X3a4=")</f>
        <v>#REF!</v>
      </c>
      <c r="FT65" t="e">
        <f>AND(#REF!,"AAAAAG/X3a8=")</f>
        <v>#REF!</v>
      </c>
      <c r="FU65" t="e">
        <f>AND(#REF!,"AAAAAG/X3bA=")</f>
        <v>#REF!</v>
      </c>
      <c r="FV65" t="e">
        <f>AND(#REF!,"AAAAAG/X3bE=")</f>
        <v>#REF!</v>
      </c>
      <c r="FW65" t="e">
        <f>AND(#REF!,"AAAAAG/X3bI=")</f>
        <v>#REF!</v>
      </c>
      <c r="FX65" t="e">
        <f>AND(#REF!,"AAAAAG/X3bM=")</f>
        <v>#REF!</v>
      </c>
      <c r="FY65" t="e">
        <f>AND(#REF!,"AAAAAG/X3bQ=")</f>
        <v>#REF!</v>
      </c>
      <c r="FZ65" t="e">
        <f>AND(#REF!,"AAAAAG/X3bU=")</f>
        <v>#REF!</v>
      </c>
      <c r="GA65" t="e">
        <f>AND(#REF!,"AAAAAG/X3bY=")</f>
        <v>#REF!</v>
      </c>
      <c r="GB65" t="e">
        <f>IF(#REF!,"AAAAAG/X3bc=",0)</f>
        <v>#REF!</v>
      </c>
      <c r="GC65" t="e">
        <f>AND(#REF!,"AAAAAG/X3bg=")</f>
        <v>#REF!</v>
      </c>
      <c r="GD65" t="e">
        <f>AND(#REF!,"AAAAAG/X3bk=")</f>
        <v>#REF!</v>
      </c>
      <c r="GE65" t="e">
        <f>AND(#REF!,"AAAAAG/X3bo=")</f>
        <v>#REF!</v>
      </c>
      <c r="GF65" t="e">
        <f>AND(#REF!,"AAAAAG/X3bs=")</f>
        <v>#REF!</v>
      </c>
      <c r="GG65" t="e">
        <f>AND(#REF!,"AAAAAG/X3bw=")</f>
        <v>#REF!</v>
      </c>
      <c r="GH65" t="e">
        <f>AND(#REF!,"AAAAAG/X3b0=")</f>
        <v>#REF!</v>
      </c>
      <c r="GI65" t="e">
        <f>AND(#REF!,"AAAAAG/X3b4=")</f>
        <v>#REF!</v>
      </c>
      <c r="GJ65" t="e">
        <f>AND(#REF!,"AAAAAG/X3b8=")</f>
        <v>#REF!</v>
      </c>
      <c r="GK65" t="e">
        <f>AND(#REF!,"AAAAAG/X3cA=")</f>
        <v>#REF!</v>
      </c>
      <c r="GL65" t="e">
        <f>AND(#REF!,"AAAAAG/X3cE=")</f>
        <v>#REF!</v>
      </c>
      <c r="GM65" t="e">
        <f>AND(#REF!,"AAAAAG/X3cI=")</f>
        <v>#REF!</v>
      </c>
      <c r="GN65" t="e">
        <f>AND(#REF!,"AAAAAG/X3cM=")</f>
        <v>#REF!</v>
      </c>
      <c r="GO65" t="e">
        <f>AND(#REF!,"AAAAAG/X3cQ=")</f>
        <v>#REF!</v>
      </c>
      <c r="GP65" t="e">
        <f>AND(#REF!,"AAAAAG/X3cU=")</f>
        <v>#REF!</v>
      </c>
      <c r="GQ65" t="e">
        <f>AND(#REF!,"AAAAAG/X3cY=")</f>
        <v>#REF!</v>
      </c>
      <c r="GR65" t="e">
        <f>AND(#REF!,"AAAAAG/X3cc=")</f>
        <v>#REF!</v>
      </c>
      <c r="GS65" t="e">
        <f>AND(#REF!,"AAAAAG/X3cg=")</f>
        <v>#REF!</v>
      </c>
      <c r="GT65" t="e">
        <f>AND(#REF!,"AAAAAG/X3ck=")</f>
        <v>#REF!</v>
      </c>
      <c r="GU65" t="e">
        <f>AND(#REF!,"AAAAAG/X3co=")</f>
        <v>#REF!</v>
      </c>
      <c r="GV65" t="e">
        <f>AND(#REF!,"AAAAAG/X3cs=")</f>
        <v>#REF!</v>
      </c>
      <c r="GW65" t="e">
        <f>AND(#REF!,"AAAAAG/X3cw=")</f>
        <v>#REF!</v>
      </c>
      <c r="GX65" t="e">
        <f>AND(#REF!,"AAAAAG/X3c0=")</f>
        <v>#REF!</v>
      </c>
      <c r="GY65" t="e">
        <f>AND(#REF!,"AAAAAG/X3c4=")</f>
        <v>#REF!</v>
      </c>
      <c r="GZ65" t="e">
        <f>AND(#REF!,"AAAAAG/X3c8=")</f>
        <v>#REF!</v>
      </c>
      <c r="HA65" t="e">
        <f>AND(#REF!,"AAAAAG/X3dA=")</f>
        <v>#REF!</v>
      </c>
      <c r="HB65" t="e">
        <f>AND(#REF!,"AAAAAG/X3dE=")</f>
        <v>#REF!</v>
      </c>
      <c r="HC65" t="e">
        <f>IF(#REF!,"AAAAAG/X3dI=",0)</f>
        <v>#REF!</v>
      </c>
      <c r="HD65" t="e">
        <f>AND(#REF!,"AAAAAG/X3dM=")</f>
        <v>#REF!</v>
      </c>
      <c r="HE65" t="e">
        <f>AND(#REF!,"AAAAAG/X3dQ=")</f>
        <v>#REF!</v>
      </c>
      <c r="HF65" t="e">
        <f>AND(#REF!,"AAAAAG/X3dU=")</f>
        <v>#REF!</v>
      </c>
      <c r="HG65" t="e">
        <f>AND(#REF!,"AAAAAG/X3dY=")</f>
        <v>#REF!</v>
      </c>
      <c r="HH65" t="e">
        <f>AND(#REF!,"AAAAAG/X3dc=")</f>
        <v>#REF!</v>
      </c>
      <c r="HI65" t="e">
        <f>AND(#REF!,"AAAAAG/X3dg=")</f>
        <v>#REF!</v>
      </c>
      <c r="HJ65" t="e">
        <f>AND(#REF!,"AAAAAG/X3dk=")</f>
        <v>#REF!</v>
      </c>
      <c r="HK65" t="e">
        <f>AND(#REF!,"AAAAAG/X3do=")</f>
        <v>#REF!</v>
      </c>
      <c r="HL65" t="e">
        <f>AND(#REF!,"AAAAAG/X3ds=")</f>
        <v>#REF!</v>
      </c>
      <c r="HM65" t="e">
        <f>AND(#REF!,"AAAAAG/X3dw=")</f>
        <v>#REF!</v>
      </c>
      <c r="HN65" t="e">
        <f>AND(#REF!,"AAAAAG/X3d0=")</f>
        <v>#REF!</v>
      </c>
      <c r="HO65" t="e">
        <f>AND(#REF!,"AAAAAG/X3d4=")</f>
        <v>#REF!</v>
      </c>
      <c r="HP65" t="e">
        <f>AND(#REF!,"AAAAAG/X3d8=")</f>
        <v>#REF!</v>
      </c>
      <c r="HQ65" t="e">
        <f>AND(#REF!,"AAAAAG/X3eA=")</f>
        <v>#REF!</v>
      </c>
      <c r="HR65" t="e">
        <f>AND(#REF!,"AAAAAG/X3eE=")</f>
        <v>#REF!</v>
      </c>
      <c r="HS65" t="e">
        <f>AND(#REF!,"AAAAAG/X3eI=")</f>
        <v>#REF!</v>
      </c>
      <c r="HT65" t="e">
        <f>AND(#REF!,"AAAAAG/X3eM=")</f>
        <v>#REF!</v>
      </c>
      <c r="HU65" t="e">
        <f>AND(#REF!,"AAAAAG/X3eQ=")</f>
        <v>#REF!</v>
      </c>
      <c r="HV65" t="e">
        <f>AND(#REF!,"AAAAAG/X3eU=")</f>
        <v>#REF!</v>
      </c>
      <c r="HW65" t="e">
        <f>AND(#REF!,"AAAAAG/X3eY=")</f>
        <v>#REF!</v>
      </c>
      <c r="HX65" t="e">
        <f>AND(#REF!,"AAAAAG/X3ec=")</f>
        <v>#REF!</v>
      </c>
      <c r="HY65" t="e">
        <f>AND(#REF!,"AAAAAG/X3eg=")</f>
        <v>#REF!</v>
      </c>
      <c r="HZ65" t="e">
        <f>AND(#REF!,"AAAAAG/X3ek=")</f>
        <v>#REF!</v>
      </c>
      <c r="IA65" t="e">
        <f>AND(#REF!,"AAAAAG/X3eo=")</f>
        <v>#REF!</v>
      </c>
      <c r="IB65" t="e">
        <f>AND(#REF!,"AAAAAG/X3es=")</f>
        <v>#REF!</v>
      </c>
      <c r="IC65" t="e">
        <f>AND(#REF!,"AAAAAG/X3ew=")</f>
        <v>#REF!</v>
      </c>
      <c r="ID65" t="e">
        <f>IF(#REF!,"AAAAAG/X3e0=",0)</f>
        <v>#REF!</v>
      </c>
      <c r="IE65" t="e">
        <f>AND(#REF!,"AAAAAG/X3e4=")</f>
        <v>#REF!</v>
      </c>
      <c r="IF65" t="e">
        <f>AND(#REF!,"AAAAAG/X3e8=")</f>
        <v>#REF!</v>
      </c>
      <c r="IG65" t="e">
        <f>AND(#REF!,"AAAAAG/X3fA=")</f>
        <v>#REF!</v>
      </c>
      <c r="IH65" t="e">
        <f>AND(#REF!,"AAAAAG/X3fE=")</f>
        <v>#REF!</v>
      </c>
      <c r="II65" t="e">
        <f>AND(#REF!,"AAAAAG/X3fI=")</f>
        <v>#REF!</v>
      </c>
      <c r="IJ65" t="e">
        <f>AND(#REF!,"AAAAAG/X3fM=")</f>
        <v>#REF!</v>
      </c>
      <c r="IK65" t="e">
        <f>AND(#REF!,"AAAAAG/X3fQ=")</f>
        <v>#REF!</v>
      </c>
      <c r="IL65" t="e">
        <f>AND(#REF!,"AAAAAG/X3fU=")</f>
        <v>#REF!</v>
      </c>
      <c r="IM65" t="e">
        <f>AND(#REF!,"AAAAAG/X3fY=")</f>
        <v>#REF!</v>
      </c>
      <c r="IN65" t="e">
        <f>AND(#REF!,"AAAAAG/X3fc=")</f>
        <v>#REF!</v>
      </c>
      <c r="IO65" t="e">
        <f>AND(#REF!,"AAAAAG/X3fg=")</f>
        <v>#REF!</v>
      </c>
      <c r="IP65" t="e">
        <f>AND(#REF!,"AAAAAG/X3fk=")</f>
        <v>#REF!</v>
      </c>
      <c r="IQ65" t="e">
        <f>AND(#REF!,"AAAAAG/X3fo=")</f>
        <v>#REF!</v>
      </c>
      <c r="IR65" t="e">
        <f>AND(#REF!,"AAAAAG/X3fs=")</f>
        <v>#REF!</v>
      </c>
      <c r="IS65" t="e">
        <f>AND(#REF!,"AAAAAG/X3fw=")</f>
        <v>#REF!</v>
      </c>
      <c r="IT65" t="e">
        <f>AND(#REF!,"AAAAAG/X3f0=")</f>
        <v>#REF!</v>
      </c>
      <c r="IU65" t="e">
        <f>AND(#REF!,"AAAAAG/X3f4=")</f>
        <v>#REF!</v>
      </c>
      <c r="IV65" t="e">
        <f>AND(#REF!,"AAAAAG/X3f8=")</f>
        <v>#REF!</v>
      </c>
    </row>
    <row r="66" spans="1:256" x14ac:dyDescent="0.2">
      <c r="A66" t="e">
        <f>AND(#REF!,"AAAAABt/bwA=")</f>
        <v>#REF!</v>
      </c>
      <c r="B66" t="e">
        <f>AND(#REF!,"AAAAABt/bwE=")</f>
        <v>#REF!</v>
      </c>
      <c r="C66" t="e">
        <f>AND(#REF!,"AAAAABt/bwI=")</f>
        <v>#REF!</v>
      </c>
      <c r="D66" t="e">
        <f>AND(#REF!,"AAAAABt/bwM=")</f>
        <v>#REF!</v>
      </c>
      <c r="E66" t="e">
        <f>AND(#REF!,"AAAAABt/bwQ=")</f>
        <v>#REF!</v>
      </c>
      <c r="F66" t="e">
        <f>AND(#REF!,"AAAAABt/bwU=")</f>
        <v>#REF!</v>
      </c>
      <c r="G66" t="e">
        <f>AND(#REF!,"AAAAABt/bwY=")</f>
        <v>#REF!</v>
      </c>
      <c r="H66" t="e">
        <f>AND(#REF!,"AAAAABt/bwc=")</f>
        <v>#REF!</v>
      </c>
      <c r="I66" t="e">
        <f>IF(#REF!,"AAAAABt/bwg=",0)</f>
        <v>#REF!</v>
      </c>
      <c r="J66" t="e">
        <f>AND(#REF!,"AAAAABt/bwk=")</f>
        <v>#REF!</v>
      </c>
      <c r="K66" t="e">
        <f>AND(#REF!,"AAAAABt/bwo=")</f>
        <v>#REF!</v>
      </c>
      <c r="L66" t="e">
        <f>AND(#REF!,"AAAAABt/bws=")</f>
        <v>#REF!</v>
      </c>
      <c r="M66" t="e">
        <f>AND(#REF!,"AAAAABt/bww=")</f>
        <v>#REF!</v>
      </c>
      <c r="N66" t="e">
        <f>AND(#REF!,"AAAAABt/bw0=")</f>
        <v>#REF!</v>
      </c>
      <c r="O66" t="e">
        <f>AND(#REF!,"AAAAABt/bw4=")</f>
        <v>#REF!</v>
      </c>
      <c r="P66" t="e">
        <f>AND(#REF!,"AAAAABt/bw8=")</f>
        <v>#REF!</v>
      </c>
      <c r="Q66" t="e">
        <f>AND(#REF!,"AAAAABt/bxA=")</f>
        <v>#REF!</v>
      </c>
      <c r="R66" t="e">
        <f>AND(#REF!,"AAAAABt/bxE=")</f>
        <v>#REF!</v>
      </c>
      <c r="S66" t="e">
        <f>AND(#REF!,"AAAAABt/bxI=")</f>
        <v>#REF!</v>
      </c>
      <c r="T66" t="e">
        <f>AND(#REF!,"AAAAABt/bxM=")</f>
        <v>#REF!</v>
      </c>
      <c r="U66" t="e">
        <f>AND(#REF!,"AAAAABt/bxQ=")</f>
        <v>#REF!</v>
      </c>
      <c r="V66" t="e">
        <f>AND(#REF!,"AAAAABt/bxU=")</f>
        <v>#REF!</v>
      </c>
      <c r="W66" t="e">
        <f>AND(#REF!,"AAAAABt/bxY=")</f>
        <v>#REF!</v>
      </c>
      <c r="X66" t="e">
        <f>AND(#REF!,"AAAAABt/bxc=")</f>
        <v>#REF!</v>
      </c>
      <c r="Y66" t="e">
        <f>AND(#REF!,"AAAAABt/bxg=")</f>
        <v>#REF!</v>
      </c>
      <c r="Z66" t="e">
        <f>AND(#REF!,"AAAAABt/bxk=")</f>
        <v>#REF!</v>
      </c>
      <c r="AA66" t="e">
        <f>AND(#REF!,"AAAAABt/bxo=")</f>
        <v>#REF!</v>
      </c>
      <c r="AB66" t="e">
        <f>AND(#REF!,"AAAAABt/bxs=")</f>
        <v>#REF!</v>
      </c>
      <c r="AC66" t="e">
        <f>AND(#REF!,"AAAAABt/bxw=")</f>
        <v>#REF!</v>
      </c>
      <c r="AD66" t="e">
        <f>AND(#REF!,"AAAAABt/bx0=")</f>
        <v>#REF!</v>
      </c>
      <c r="AE66" t="e">
        <f>AND(#REF!,"AAAAABt/bx4=")</f>
        <v>#REF!</v>
      </c>
      <c r="AF66" t="e">
        <f>AND(#REF!,"AAAAABt/bx8=")</f>
        <v>#REF!</v>
      </c>
      <c r="AG66" t="e">
        <f>AND(#REF!,"AAAAABt/byA=")</f>
        <v>#REF!</v>
      </c>
      <c r="AH66" t="e">
        <f>AND(#REF!,"AAAAABt/byE=")</f>
        <v>#REF!</v>
      </c>
      <c r="AI66" t="e">
        <f>AND(#REF!,"AAAAABt/byI=")</f>
        <v>#REF!</v>
      </c>
      <c r="AJ66" t="e">
        <f>IF(#REF!,"AAAAABt/byM=",0)</f>
        <v>#REF!</v>
      </c>
      <c r="AK66" t="e">
        <f>AND(#REF!,"AAAAABt/byQ=")</f>
        <v>#REF!</v>
      </c>
      <c r="AL66" t="e">
        <f>AND(#REF!,"AAAAABt/byU=")</f>
        <v>#REF!</v>
      </c>
      <c r="AM66" t="e">
        <f>AND(#REF!,"AAAAABt/byY=")</f>
        <v>#REF!</v>
      </c>
      <c r="AN66" t="e">
        <f>AND(#REF!,"AAAAABt/byc=")</f>
        <v>#REF!</v>
      </c>
      <c r="AO66" t="e">
        <f>AND(#REF!,"AAAAABt/byg=")</f>
        <v>#REF!</v>
      </c>
      <c r="AP66" t="e">
        <f>AND(#REF!,"AAAAABt/byk=")</f>
        <v>#REF!</v>
      </c>
      <c r="AQ66" t="e">
        <f>AND(#REF!,"AAAAABt/byo=")</f>
        <v>#REF!</v>
      </c>
      <c r="AR66" t="e">
        <f>AND(#REF!,"AAAAABt/bys=")</f>
        <v>#REF!</v>
      </c>
      <c r="AS66" t="e">
        <f>AND(#REF!,"AAAAABt/byw=")</f>
        <v>#REF!</v>
      </c>
      <c r="AT66" t="e">
        <f>AND(#REF!,"AAAAABt/by0=")</f>
        <v>#REF!</v>
      </c>
      <c r="AU66" t="e">
        <f>AND(#REF!,"AAAAABt/by4=")</f>
        <v>#REF!</v>
      </c>
      <c r="AV66" t="e">
        <f>AND(#REF!,"AAAAABt/by8=")</f>
        <v>#REF!</v>
      </c>
      <c r="AW66" t="e">
        <f>AND(#REF!,"AAAAABt/bzA=")</f>
        <v>#REF!</v>
      </c>
      <c r="AX66" t="e">
        <f>AND(#REF!,"AAAAABt/bzE=")</f>
        <v>#REF!</v>
      </c>
      <c r="AY66" t="e">
        <f>AND(#REF!,"AAAAABt/bzI=")</f>
        <v>#REF!</v>
      </c>
      <c r="AZ66" t="e">
        <f>AND(#REF!,"AAAAABt/bzM=")</f>
        <v>#REF!</v>
      </c>
      <c r="BA66" t="e">
        <f>AND(#REF!,"AAAAABt/bzQ=")</f>
        <v>#REF!</v>
      </c>
      <c r="BB66" t="e">
        <f>AND(#REF!,"AAAAABt/bzU=")</f>
        <v>#REF!</v>
      </c>
      <c r="BC66" t="e">
        <f>AND(#REF!,"AAAAABt/bzY=")</f>
        <v>#REF!</v>
      </c>
      <c r="BD66" t="e">
        <f>AND(#REF!,"AAAAABt/bzc=")</f>
        <v>#REF!</v>
      </c>
      <c r="BE66" t="e">
        <f>AND(#REF!,"AAAAABt/bzg=")</f>
        <v>#REF!</v>
      </c>
      <c r="BF66" t="e">
        <f>AND(#REF!,"AAAAABt/bzk=")</f>
        <v>#REF!</v>
      </c>
      <c r="BG66" t="e">
        <f>AND(#REF!,"AAAAABt/bzo=")</f>
        <v>#REF!</v>
      </c>
      <c r="BH66" t="e">
        <f>AND(#REF!,"AAAAABt/bzs=")</f>
        <v>#REF!</v>
      </c>
      <c r="BI66" t="e">
        <f>AND(#REF!,"AAAAABt/bzw=")</f>
        <v>#REF!</v>
      </c>
      <c r="BJ66" t="e">
        <f>AND(#REF!,"AAAAABt/bz0=")</f>
        <v>#REF!</v>
      </c>
      <c r="BK66" t="e">
        <f>IF(#REF!,"AAAAABt/bz4=",0)</f>
        <v>#REF!</v>
      </c>
      <c r="BL66" t="e">
        <f>AND(#REF!,"AAAAABt/bz8=")</f>
        <v>#REF!</v>
      </c>
      <c r="BM66" t="e">
        <f>AND(#REF!,"AAAAABt/b0A=")</f>
        <v>#REF!</v>
      </c>
      <c r="BN66" t="e">
        <f>AND(#REF!,"AAAAABt/b0E=")</f>
        <v>#REF!</v>
      </c>
      <c r="BO66" t="e">
        <f>AND(#REF!,"AAAAABt/b0I=")</f>
        <v>#REF!</v>
      </c>
      <c r="BP66" t="e">
        <f>AND(#REF!,"AAAAABt/b0M=")</f>
        <v>#REF!</v>
      </c>
      <c r="BQ66" t="e">
        <f>AND(#REF!,"AAAAABt/b0Q=")</f>
        <v>#REF!</v>
      </c>
      <c r="BR66" t="e">
        <f>AND(#REF!,"AAAAABt/b0U=")</f>
        <v>#REF!</v>
      </c>
      <c r="BS66" t="e">
        <f>AND(#REF!,"AAAAABt/b0Y=")</f>
        <v>#REF!</v>
      </c>
      <c r="BT66" t="e">
        <f>AND(#REF!,"AAAAABt/b0c=")</f>
        <v>#REF!</v>
      </c>
      <c r="BU66" t="e">
        <f>AND(#REF!,"AAAAABt/b0g=")</f>
        <v>#REF!</v>
      </c>
      <c r="BV66" t="e">
        <f>AND(#REF!,"AAAAABt/b0k=")</f>
        <v>#REF!</v>
      </c>
      <c r="BW66" t="e">
        <f>AND(#REF!,"AAAAABt/b0o=")</f>
        <v>#REF!</v>
      </c>
      <c r="BX66" t="e">
        <f>AND(#REF!,"AAAAABt/b0s=")</f>
        <v>#REF!</v>
      </c>
      <c r="BY66" t="e">
        <f>AND(#REF!,"AAAAABt/b0w=")</f>
        <v>#REF!</v>
      </c>
      <c r="BZ66" t="e">
        <f>AND(#REF!,"AAAAABt/b00=")</f>
        <v>#REF!</v>
      </c>
      <c r="CA66" t="e">
        <f>AND(#REF!,"AAAAABt/b04=")</f>
        <v>#REF!</v>
      </c>
      <c r="CB66" t="e">
        <f>AND(#REF!,"AAAAABt/b08=")</f>
        <v>#REF!</v>
      </c>
      <c r="CC66" t="e">
        <f>AND(#REF!,"AAAAABt/b1A=")</f>
        <v>#REF!</v>
      </c>
      <c r="CD66" t="e">
        <f>AND(#REF!,"AAAAABt/b1E=")</f>
        <v>#REF!</v>
      </c>
      <c r="CE66" t="e">
        <f>AND(#REF!,"AAAAABt/b1I=")</f>
        <v>#REF!</v>
      </c>
      <c r="CF66" t="e">
        <f>AND(#REF!,"AAAAABt/b1M=")</f>
        <v>#REF!</v>
      </c>
      <c r="CG66" t="e">
        <f>AND(#REF!,"AAAAABt/b1Q=")</f>
        <v>#REF!</v>
      </c>
      <c r="CH66" t="e">
        <f>AND(#REF!,"AAAAABt/b1U=")</f>
        <v>#REF!</v>
      </c>
      <c r="CI66" t="e">
        <f>AND(#REF!,"AAAAABt/b1Y=")</f>
        <v>#REF!</v>
      </c>
      <c r="CJ66" t="e">
        <f>AND(#REF!,"AAAAABt/b1c=")</f>
        <v>#REF!</v>
      </c>
      <c r="CK66" t="e">
        <f>AND(#REF!,"AAAAABt/b1g=")</f>
        <v>#REF!</v>
      </c>
      <c r="CL66" t="e">
        <f>IF(#REF!,"AAAAABt/b1k=",0)</f>
        <v>#REF!</v>
      </c>
      <c r="CM66" t="e">
        <f>AND(#REF!,"AAAAABt/b1o=")</f>
        <v>#REF!</v>
      </c>
      <c r="CN66" t="e">
        <f>AND(#REF!,"AAAAABt/b1s=")</f>
        <v>#REF!</v>
      </c>
      <c r="CO66" t="e">
        <f>AND(#REF!,"AAAAABt/b1w=")</f>
        <v>#REF!</v>
      </c>
      <c r="CP66" t="e">
        <f>AND(#REF!,"AAAAABt/b10=")</f>
        <v>#REF!</v>
      </c>
      <c r="CQ66" t="e">
        <f>AND(#REF!,"AAAAABt/b14=")</f>
        <v>#REF!</v>
      </c>
      <c r="CR66" t="e">
        <f>AND(#REF!,"AAAAABt/b18=")</f>
        <v>#REF!</v>
      </c>
      <c r="CS66" t="e">
        <f>AND(#REF!,"AAAAABt/b2A=")</f>
        <v>#REF!</v>
      </c>
      <c r="CT66" t="e">
        <f>AND(#REF!,"AAAAABt/b2E=")</f>
        <v>#REF!</v>
      </c>
      <c r="CU66" t="e">
        <f>AND(#REF!,"AAAAABt/b2I=")</f>
        <v>#REF!</v>
      </c>
      <c r="CV66" t="e">
        <f>AND(#REF!,"AAAAABt/b2M=")</f>
        <v>#REF!</v>
      </c>
      <c r="CW66" t="e">
        <f>AND(#REF!,"AAAAABt/b2Q=")</f>
        <v>#REF!</v>
      </c>
      <c r="CX66" t="e">
        <f>AND(#REF!,"AAAAABt/b2U=")</f>
        <v>#REF!</v>
      </c>
      <c r="CY66" t="e">
        <f>AND(#REF!,"AAAAABt/b2Y=")</f>
        <v>#REF!</v>
      </c>
      <c r="CZ66" t="e">
        <f>AND(#REF!,"AAAAABt/b2c=")</f>
        <v>#REF!</v>
      </c>
      <c r="DA66" t="e">
        <f>AND(#REF!,"AAAAABt/b2g=")</f>
        <v>#REF!</v>
      </c>
      <c r="DB66" t="e">
        <f>AND(#REF!,"AAAAABt/b2k=")</f>
        <v>#REF!</v>
      </c>
      <c r="DC66" t="e">
        <f>AND(#REF!,"AAAAABt/b2o=")</f>
        <v>#REF!</v>
      </c>
      <c r="DD66" t="e">
        <f>AND(#REF!,"AAAAABt/b2s=")</f>
        <v>#REF!</v>
      </c>
      <c r="DE66" t="e">
        <f>AND(#REF!,"AAAAABt/b2w=")</f>
        <v>#REF!</v>
      </c>
      <c r="DF66" t="e">
        <f>AND(#REF!,"AAAAABt/b20=")</f>
        <v>#REF!</v>
      </c>
      <c r="DG66" t="e">
        <f>AND(#REF!,"AAAAABt/b24=")</f>
        <v>#REF!</v>
      </c>
      <c r="DH66" t="e">
        <f>AND(#REF!,"AAAAABt/b28=")</f>
        <v>#REF!</v>
      </c>
      <c r="DI66" t="e">
        <f>AND(#REF!,"AAAAABt/b3A=")</f>
        <v>#REF!</v>
      </c>
      <c r="DJ66" t="e">
        <f>AND(#REF!,"AAAAABt/b3E=")</f>
        <v>#REF!</v>
      </c>
      <c r="DK66" t="e">
        <f>AND(#REF!,"AAAAABt/b3I=")</f>
        <v>#REF!</v>
      </c>
      <c r="DL66" t="e">
        <f>AND(#REF!,"AAAAABt/b3M=")</f>
        <v>#REF!</v>
      </c>
      <c r="DM66" t="e">
        <f>IF(#REF!,"AAAAABt/b3Q=",0)</f>
        <v>#REF!</v>
      </c>
      <c r="DN66" t="e">
        <f>AND(#REF!,"AAAAABt/b3U=")</f>
        <v>#REF!</v>
      </c>
      <c r="DO66" t="e">
        <f>AND(#REF!,"AAAAABt/b3Y=")</f>
        <v>#REF!</v>
      </c>
      <c r="DP66" t="e">
        <f>AND(#REF!,"AAAAABt/b3c=")</f>
        <v>#REF!</v>
      </c>
      <c r="DQ66" t="e">
        <f>AND(#REF!,"AAAAABt/b3g=")</f>
        <v>#REF!</v>
      </c>
      <c r="DR66" t="e">
        <f>AND(#REF!,"AAAAABt/b3k=")</f>
        <v>#REF!</v>
      </c>
      <c r="DS66" t="e">
        <f>AND(#REF!,"AAAAABt/b3o=")</f>
        <v>#REF!</v>
      </c>
      <c r="DT66" t="e">
        <f>AND(#REF!,"AAAAABt/b3s=")</f>
        <v>#REF!</v>
      </c>
      <c r="DU66" t="e">
        <f>AND(#REF!,"AAAAABt/b3w=")</f>
        <v>#REF!</v>
      </c>
      <c r="DV66" t="e">
        <f>AND(#REF!,"AAAAABt/b30=")</f>
        <v>#REF!</v>
      </c>
      <c r="DW66" t="e">
        <f>AND(#REF!,"AAAAABt/b34=")</f>
        <v>#REF!</v>
      </c>
      <c r="DX66" t="e">
        <f>AND(#REF!,"AAAAABt/b38=")</f>
        <v>#REF!</v>
      </c>
      <c r="DY66" t="e">
        <f>AND(#REF!,"AAAAABt/b4A=")</f>
        <v>#REF!</v>
      </c>
      <c r="DZ66" t="e">
        <f>AND(#REF!,"AAAAABt/b4E=")</f>
        <v>#REF!</v>
      </c>
      <c r="EA66" t="e">
        <f>AND(#REF!,"AAAAABt/b4I=")</f>
        <v>#REF!</v>
      </c>
      <c r="EB66" t="e">
        <f>AND(#REF!,"AAAAABt/b4M=")</f>
        <v>#REF!</v>
      </c>
      <c r="EC66" t="e">
        <f>AND(#REF!,"AAAAABt/b4Q=")</f>
        <v>#REF!</v>
      </c>
      <c r="ED66" t="e">
        <f>AND(#REF!,"AAAAABt/b4U=")</f>
        <v>#REF!</v>
      </c>
      <c r="EE66" t="e">
        <f>AND(#REF!,"AAAAABt/b4Y=")</f>
        <v>#REF!</v>
      </c>
      <c r="EF66" t="e">
        <f>AND(#REF!,"AAAAABt/b4c=")</f>
        <v>#REF!</v>
      </c>
      <c r="EG66" t="e">
        <f>AND(#REF!,"AAAAABt/b4g=")</f>
        <v>#REF!</v>
      </c>
      <c r="EH66" t="e">
        <f>AND(#REF!,"AAAAABt/b4k=")</f>
        <v>#REF!</v>
      </c>
      <c r="EI66" t="e">
        <f>AND(#REF!,"AAAAABt/b4o=")</f>
        <v>#REF!</v>
      </c>
      <c r="EJ66" t="e">
        <f>AND(#REF!,"AAAAABt/b4s=")</f>
        <v>#REF!</v>
      </c>
      <c r="EK66" t="e">
        <f>AND(#REF!,"AAAAABt/b4w=")</f>
        <v>#REF!</v>
      </c>
      <c r="EL66" t="e">
        <f>AND(#REF!,"AAAAABt/b40=")</f>
        <v>#REF!</v>
      </c>
      <c r="EM66" t="e">
        <f>AND(#REF!,"AAAAABt/b44=")</f>
        <v>#REF!</v>
      </c>
      <c r="EN66" t="e">
        <f>IF(#REF!,"AAAAABt/b48=",0)</f>
        <v>#REF!</v>
      </c>
      <c r="EO66" t="e">
        <f>AND(#REF!,"AAAAABt/b5A=")</f>
        <v>#REF!</v>
      </c>
      <c r="EP66" t="e">
        <f>AND(#REF!,"AAAAABt/b5E=")</f>
        <v>#REF!</v>
      </c>
      <c r="EQ66" t="e">
        <f>AND(#REF!,"AAAAABt/b5I=")</f>
        <v>#REF!</v>
      </c>
      <c r="ER66" t="e">
        <f>AND(#REF!,"AAAAABt/b5M=")</f>
        <v>#REF!</v>
      </c>
      <c r="ES66" t="e">
        <f>AND(#REF!,"AAAAABt/b5Q=")</f>
        <v>#REF!</v>
      </c>
      <c r="ET66" t="e">
        <f>AND(#REF!,"AAAAABt/b5U=")</f>
        <v>#REF!</v>
      </c>
      <c r="EU66" t="e">
        <f>AND(#REF!,"AAAAABt/b5Y=")</f>
        <v>#REF!</v>
      </c>
      <c r="EV66" t="e">
        <f>AND(#REF!,"AAAAABt/b5c=")</f>
        <v>#REF!</v>
      </c>
      <c r="EW66" t="e">
        <f>AND(#REF!,"AAAAABt/b5g=")</f>
        <v>#REF!</v>
      </c>
      <c r="EX66" t="e">
        <f>AND(#REF!,"AAAAABt/b5k=")</f>
        <v>#REF!</v>
      </c>
      <c r="EY66" t="e">
        <f>AND(#REF!,"AAAAABt/b5o=")</f>
        <v>#REF!</v>
      </c>
      <c r="EZ66" t="e">
        <f>AND(#REF!,"AAAAABt/b5s=")</f>
        <v>#REF!</v>
      </c>
      <c r="FA66" t="e">
        <f>AND(#REF!,"AAAAABt/b5w=")</f>
        <v>#REF!</v>
      </c>
      <c r="FB66" t="e">
        <f>AND(#REF!,"AAAAABt/b50=")</f>
        <v>#REF!</v>
      </c>
      <c r="FC66" t="e">
        <f>AND(#REF!,"AAAAABt/b54=")</f>
        <v>#REF!</v>
      </c>
      <c r="FD66" t="e">
        <f>AND(#REF!,"AAAAABt/b58=")</f>
        <v>#REF!</v>
      </c>
      <c r="FE66" t="e">
        <f>AND(#REF!,"AAAAABt/b6A=")</f>
        <v>#REF!</v>
      </c>
      <c r="FF66" t="e">
        <f>AND(#REF!,"AAAAABt/b6E=")</f>
        <v>#REF!</v>
      </c>
      <c r="FG66" t="e">
        <f>AND(#REF!,"AAAAABt/b6I=")</f>
        <v>#REF!</v>
      </c>
      <c r="FH66" t="e">
        <f>AND(#REF!,"AAAAABt/b6M=")</f>
        <v>#REF!</v>
      </c>
      <c r="FI66" t="e">
        <f>AND(#REF!,"AAAAABt/b6Q=")</f>
        <v>#REF!</v>
      </c>
      <c r="FJ66" t="e">
        <f>AND(#REF!,"AAAAABt/b6U=")</f>
        <v>#REF!</v>
      </c>
      <c r="FK66" t="e">
        <f>AND(#REF!,"AAAAABt/b6Y=")</f>
        <v>#REF!</v>
      </c>
      <c r="FL66" t="e">
        <f>AND(#REF!,"AAAAABt/b6c=")</f>
        <v>#REF!</v>
      </c>
      <c r="FM66" t="e">
        <f>AND(#REF!,"AAAAABt/b6g=")</f>
        <v>#REF!</v>
      </c>
      <c r="FN66" t="e">
        <f>AND(#REF!,"AAAAABt/b6k=")</f>
        <v>#REF!</v>
      </c>
      <c r="FO66" t="e">
        <f>IF(#REF!,"AAAAABt/b6o=",0)</f>
        <v>#REF!</v>
      </c>
      <c r="FP66" t="e">
        <f>IF(#REF!,"AAAAABt/b6s=",0)</f>
        <v>#REF!</v>
      </c>
      <c r="FQ66" t="e">
        <f>IF(#REF!,"AAAAABt/b6w=",0)</f>
        <v>#REF!</v>
      </c>
      <c r="FR66" t="e">
        <f>IF(#REF!,"AAAAABt/b60=",0)</f>
        <v>#REF!</v>
      </c>
      <c r="FS66" t="e">
        <f>IF(#REF!,"AAAAABt/b64=",0)</f>
        <v>#REF!</v>
      </c>
      <c r="FT66" t="e">
        <f>IF(#REF!,"AAAAABt/b68=",0)</f>
        <v>#REF!</v>
      </c>
      <c r="FU66" t="e">
        <f>IF(#REF!,"AAAAABt/b7A=",0)</f>
        <v>#REF!</v>
      </c>
      <c r="FV66" t="e">
        <f>IF(#REF!,"AAAAABt/b7E=",0)</f>
        <v>#REF!</v>
      </c>
      <c r="FW66" t="e">
        <f>IF(#REF!,"AAAAABt/b7I=",0)</f>
        <v>#REF!</v>
      </c>
      <c r="FX66" t="e">
        <f>IF(#REF!,"AAAAABt/b7M=",0)</f>
        <v>#REF!</v>
      </c>
      <c r="FY66" t="e">
        <f>IF(#REF!,"AAAAABt/b7Q=",0)</f>
        <v>#REF!</v>
      </c>
      <c r="FZ66" t="e">
        <f>IF(#REF!,"AAAAABt/b7U=",0)</f>
        <v>#REF!</v>
      </c>
      <c r="GA66" t="e">
        <f>IF(#REF!,"AAAAABt/b7Y=",0)</f>
        <v>#REF!</v>
      </c>
      <c r="GB66" t="e">
        <f>IF(#REF!,"AAAAABt/b7c=",0)</f>
        <v>#REF!</v>
      </c>
      <c r="GC66" t="e">
        <f>IF(#REF!,"AAAAABt/b7g=",0)</f>
        <v>#REF!</v>
      </c>
      <c r="GD66" t="e">
        <f>IF(#REF!,"AAAAABt/b7k=",0)</f>
        <v>#REF!</v>
      </c>
      <c r="GE66" t="e">
        <f>IF(#REF!,"AAAAABt/b7o=",0)</f>
        <v>#REF!</v>
      </c>
      <c r="GF66" t="e">
        <f>IF(#REF!,"AAAAABt/b7s=",0)</f>
        <v>#REF!</v>
      </c>
      <c r="GG66" t="e">
        <f>IF(#REF!,"AAAAABt/b7w=",0)</f>
        <v>#REF!</v>
      </c>
      <c r="GH66" t="e">
        <f>IF(#REF!,"AAAAABt/b70=",0)</f>
        <v>#REF!</v>
      </c>
      <c r="GI66" t="e">
        <f>IF(#REF!,"AAAAABt/b74=",0)</f>
        <v>#REF!</v>
      </c>
      <c r="GJ66" t="e">
        <f>IF(#REF!,"AAAAABt/b78=",0)</f>
        <v>#REF!</v>
      </c>
      <c r="GK66" t="e">
        <f>IF(#REF!,"AAAAABt/b8A=",0)</f>
        <v>#REF!</v>
      </c>
      <c r="GL66" t="e">
        <f>IF(#REF!,"AAAAABt/b8E=",0)</f>
        <v>#REF!</v>
      </c>
      <c r="GM66" t="e">
        <f>IF(#REF!,"AAAAABt/b8I=",0)</f>
        <v>#REF!</v>
      </c>
      <c r="GN66" t="e">
        <f>IF(#REF!,"AAAAABt/b8M=",0)</f>
        <v>#REF!</v>
      </c>
      <c r="GO66" t="e">
        <f>IF(#REF!,"AAAAABt/b8Q=",0)</f>
        <v>#REF!</v>
      </c>
      <c r="GP66" t="e">
        <f>AND(#REF!,"AAAAABt/b8U=")</f>
        <v>#REF!</v>
      </c>
      <c r="GQ66" t="e">
        <f>AND(#REF!,"AAAAABt/b8Y=")</f>
        <v>#REF!</v>
      </c>
      <c r="GR66" t="e">
        <f>AND(#REF!,"AAAAABt/b8c=")</f>
        <v>#REF!</v>
      </c>
      <c r="GS66" t="e">
        <f>AND(#REF!,"AAAAABt/b8g=")</f>
        <v>#REF!</v>
      </c>
      <c r="GT66" t="e">
        <f>AND(#REF!,"AAAAABt/b8k=")</f>
        <v>#REF!</v>
      </c>
      <c r="GU66" t="e">
        <f>AND(#REF!,"AAAAABt/b8o=")</f>
        <v>#REF!</v>
      </c>
      <c r="GV66" t="e">
        <f>AND(#REF!,"AAAAABt/b8s=")</f>
        <v>#REF!</v>
      </c>
      <c r="GW66" t="e">
        <f>AND(#REF!,"AAAAABt/b8w=")</f>
        <v>#REF!</v>
      </c>
      <c r="GX66" t="e">
        <f>AND(#REF!,"AAAAABt/b80=")</f>
        <v>#REF!</v>
      </c>
      <c r="GY66" t="e">
        <f>AND(#REF!,"AAAAABt/b84=")</f>
        <v>#REF!</v>
      </c>
      <c r="GZ66" t="e">
        <f>AND(#REF!,"AAAAABt/b88=")</f>
        <v>#REF!</v>
      </c>
      <c r="HA66" t="e">
        <f>AND(#REF!,"AAAAABt/b9A=")</f>
        <v>#REF!</v>
      </c>
      <c r="HB66" t="e">
        <f>AND(#REF!,"AAAAABt/b9E=")</f>
        <v>#REF!</v>
      </c>
      <c r="HC66" t="e">
        <f>AND(#REF!,"AAAAABt/b9I=")</f>
        <v>#REF!</v>
      </c>
      <c r="HD66" t="e">
        <f>AND(#REF!,"AAAAABt/b9M=")</f>
        <v>#REF!</v>
      </c>
      <c r="HE66" t="e">
        <f>AND(#REF!,"AAAAABt/b9Q=")</f>
        <v>#REF!</v>
      </c>
      <c r="HF66" t="e">
        <f>AND(#REF!,"AAAAABt/b9U=")</f>
        <v>#REF!</v>
      </c>
      <c r="HG66" t="e">
        <f>AND(#REF!,"AAAAABt/b9Y=")</f>
        <v>#REF!</v>
      </c>
      <c r="HH66" t="e">
        <f>AND(#REF!,"AAAAABt/b9c=")</f>
        <v>#REF!</v>
      </c>
      <c r="HI66" t="e">
        <f>AND(#REF!,"AAAAABt/b9g=")</f>
        <v>#REF!</v>
      </c>
      <c r="HJ66" t="e">
        <f>AND(#REF!,"AAAAABt/b9k=")</f>
        <v>#REF!</v>
      </c>
      <c r="HK66" t="e">
        <f>AND(#REF!,"AAAAABt/b9o=")</f>
        <v>#REF!</v>
      </c>
      <c r="HL66" t="e">
        <f>AND(#REF!,"AAAAABt/b9s=")</f>
        <v>#REF!</v>
      </c>
      <c r="HM66" t="e">
        <f>AND(#REF!,"AAAAABt/b9w=")</f>
        <v>#REF!</v>
      </c>
      <c r="HN66" t="e">
        <f>AND(#REF!,"AAAAABt/b90=")</f>
        <v>#REF!</v>
      </c>
      <c r="HO66" t="e">
        <f>AND(#REF!,"AAAAABt/b94=")</f>
        <v>#REF!</v>
      </c>
      <c r="HP66" t="e">
        <f>IF(#REF!,"AAAAABt/b98=",0)</f>
        <v>#REF!</v>
      </c>
      <c r="HQ66" t="e">
        <f>AND(#REF!,"AAAAABt/b+A=")</f>
        <v>#REF!</v>
      </c>
      <c r="HR66" t="e">
        <f>AND(#REF!,"AAAAABt/b+E=")</f>
        <v>#REF!</v>
      </c>
      <c r="HS66" t="e">
        <f>AND(#REF!,"AAAAABt/b+I=")</f>
        <v>#REF!</v>
      </c>
      <c r="HT66" t="e">
        <f>AND(#REF!,"AAAAABt/b+M=")</f>
        <v>#REF!</v>
      </c>
      <c r="HU66" t="e">
        <f>AND(#REF!,"AAAAABt/b+Q=")</f>
        <v>#REF!</v>
      </c>
      <c r="HV66" t="e">
        <f>AND(#REF!,"AAAAABt/b+U=")</f>
        <v>#REF!</v>
      </c>
      <c r="HW66" t="e">
        <f>AND(#REF!,"AAAAABt/b+Y=")</f>
        <v>#REF!</v>
      </c>
      <c r="HX66" t="e">
        <f>AND(#REF!,"AAAAABt/b+c=")</f>
        <v>#REF!</v>
      </c>
      <c r="HY66" t="e">
        <f>AND(#REF!,"AAAAABt/b+g=")</f>
        <v>#REF!</v>
      </c>
      <c r="HZ66" t="e">
        <f>AND(#REF!,"AAAAABt/b+k=")</f>
        <v>#REF!</v>
      </c>
      <c r="IA66" t="e">
        <f>AND(#REF!,"AAAAABt/b+o=")</f>
        <v>#REF!</v>
      </c>
      <c r="IB66" t="e">
        <f>AND(#REF!,"AAAAABt/b+s=")</f>
        <v>#REF!</v>
      </c>
      <c r="IC66" t="e">
        <f>AND(#REF!,"AAAAABt/b+w=")</f>
        <v>#REF!</v>
      </c>
      <c r="ID66" t="e">
        <f>AND(#REF!,"AAAAABt/b+0=")</f>
        <v>#REF!</v>
      </c>
      <c r="IE66" t="e">
        <f>AND(#REF!,"AAAAABt/b+4=")</f>
        <v>#REF!</v>
      </c>
      <c r="IF66" t="e">
        <f>AND(#REF!,"AAAAABt/b+8=")</f>
        <v>#REF!</v>
      </c>
      <c r="IG66" t="e">
        <f>AND(#REF!,"AAAAABt/b/A=")</f>
        <v>#REF!</v>
      </c>
      <c r="IH66" t="e">
        <f>AND(#REF!,"AAAAABt/b/E=")</f>
        <v>#REF!</v>
      </c>
      <c r="II66" t="e">
        <f>AND(#REF!,"AAAAABt/b/I=")</f>
        <v>#REF!</v>
      </c>
      <c r="IJ66" t="e">
        <f>AND(#REF!,"AAAAABt/b/M=")</f>
        <v>#REF!</v>
      </c>
      <c r="IK66" t="e">
        <f>AND(#REF!,"AAAAABt/b/Q=")</f>
        <v>#REF!</v>
      </c>
      <c r="IL66" t="e">
        <f>AND(#REF!,"AAAAABt/b/U=")</f>
        <v>#REF!</v>
      </c>
      <c r="IM66" t="e">
        <f>AND(#REF!,"AAAAABt/b/Y=")</f>
        <v>#REF!</v>
      </c>
      <c r="IN66" t="e">
        <f>AND(#REF!,"AAAAABt/b/c=")</f>
        <v>#REF!</v>
      </c>
      <c r="IO66" t="e">
        <f>AND(#REF!,"AAAAABt/b/g=")</f>
        <v>#REF!</v>
      </c>
      <c r="IP66" t="e">
        <f>AND(#REF!,"AAAAABt/b/k=")</f>
        <v>#REF!</v>
      </c>
      <c r="IQ66" t="e">
        <f>IF(#REF!,"AAAAABt/b/o=",0)</f>
        <v>#REF!</v>
      </c>
      <c r="IR66" t="e">
        <f>AND(#REF!,"AAAAABt/b/s=")</f>
        <v>#REF!</v>
      </c>
      <c r="IS66" t="e">
        <f>AND(#REF!,"AAAAABt/b/w=")</f>
        <v>#REF!</v>
      </c>
      <c r="IT66" t="e">
        <f>AND(#REF!,"AAAAABt/b/0=")</f>
        <v>#REF!</v>
      </c>
      <c r="IU66" t="e">
        <f>AND(#REF!,"AAAAABt/b/4=")</f>
        <v>#REF!</v>
      </c>
      <c r="IV66" t="e">
        <f>AND(#REF!,"AAAAABt/b/8=")</f>
        <v>#REF!</v>
      </c>
    </row>
    <row r="67" spans="1:256" x14ac:dyDescent="0.2">
      <c r="A67" t="e">
        <f>AND(#REF!,"AAAAAH/D3wA=")</f>
        <v>#REF!</v>
      </c>
      <c r="B67" t="e">
        <f>AND(#REF!,"AAAAAH/D3wE=")</f>
        <v>#REF!</v>
      </c>
      <c r="C67" t="e">
        <f>AND(#REF!,"AAAAAH/D3wI=")</f>
        <v>#REF!</v>
      </c>
      <c r="D67" t="e">
        <f>AND(#REF!,"AAAAAH/D3wM=")</f>
        <v>#REF!</v>
      </c>
      <c r="E67" t="e">
        <f>AND(#REF!,"AAAAAH/D3wQ=")</f>
        <v>#REF!</v>
      </c>
      <c r="F67" t="e">
        <f>AND(#REF!,"AAAAAH/D3wU=")</f>
        <v>#REF!</v>
      </c>
      <c r="G67" t="e">
        <f>AND(#REF!,"AAAAAH/D3wY=")</f>
        <v>#REF!</v>
      </c>
      <c r="H67" t="e">
        <f>AND(#REF!,"AAAAAH/D3wc=")</f>
        <v>#REF!</v>
      </c>
      <c r="I67" t="e">
        <f>AND(#REF!,"AAAAAH/D3wg=")</f>
        <v>#REF!</v>
      </c>
      <c r="J67" t="e">
        <f>AND(#REF!,"AAAAAH/D3wk=")</f>
        <v>#REF!</v>
      </c>
      <c r="K67" t="e">
        <f>AND(#REF!,"AAAAAH/D3wo=")</f>
        <v>#REF!</v>
      </c>
      <c r="L67" t="e">
        <f>AND(#REF!,"AAAAAH/D3ws=")</f>
        <v>#REF!</v>
      </c>
      <c r="M67" t="e">
        <f>AND(#REF!,"AAAAAH/D3ww=")</f>
        <v>#REF!</v>
      </c>
      <c r="N67" t="e">
        <f>AND(#REF!,"AAAAAH/D3w0=")</f>
        <v>#REF!</v>
      </c>
      <c r="O67" t="e">
        <f>AND(#REF!,"AAAAAH/D3w4=")</f>
        <v>#REF!</v>
      </c>
      <c r="P67" t="e">
        <f>AND(#REF!,"AAAAAH/D3w8=")</f>
        <v>#REF!</v>
      </c>
      <c r="Q67" t="e">
        <f>AND(#REF!,"AAAAAH/D3xA=")</f>
        <v>#REF!</v>
      </c>
      <c r="R67" t="e">
        <f>AND(#REF!,"AAAAAH/D3xE=")</f>
        <v>#REF!</v>
      </c>
      <c r="S67" t="e">
        <f>AND(#REF!,"AAAAAH/D3xI=")</f>
        <v>#REF!</v>
      </c>
      <c r="T67" t="e">
        <f>AND(#REF!,"AAAAAH/D3xM=")</f>
        <v>#REF!</v>
      </c>
      <c r="U67" t="e">
        <f>AND(#REF!,"AAAAAH/D3xQ=")</f>
        <v>#REF!</v>
      </c>
      <c r="V67" t="e">
        <f>IF(#REF!,"AAAAAH/D3xU=",0)</f>
        <v>#REF!</v>
      </c>
      <c r="W67" t="e">
        <f>AND(#REF!,"AAAAAH/D3xY=")</f>
        <v>#REF!</v>
      </c>
      <c r="X67" t="e">
        <f>AND(#REF!,"AAAAAH/D3xc=")</f>
        <v>#REF!</v>
      </c>
      <c r="Y67" t="e">
        <f>AND(#REF!,"AAAAAH/D3xg=")</f>
        <v>#REF!</v>
      </c>
      <c r="Z67" t="e">
        <f>AND(#REF!,"AAAAAH/D3xk=")</f>
        <v>#REF!</v>
      </c>
      <c r="AA67" t="e">
        <f>AND(#REF!,"AAAAAH/D3xo=")</f>
        <v>#REF!</v>
      </c>
      <c r="AB67" t="e">
        <f>AND(#REF!,"AAAAAH/D3xs=")</f>
        <v>#REF!</v>
      </c>
      <c r="AC67" t="e">
        <f>AND(#REF!,"AAAAAH/D3xw=")</f>
        <v>#REF!</v>
      </c>
      <c r="AD67" t="e">
        <f>AND(#REF!,"AAAAAH/D3x0=")</f>
        <v>#REF!</v>
      </c>
      <c r="AE67" t="e">
        <f>AND(#REF!,"AAAAAH/D3x4=")</f>
        <v>#REF!</v>
      </c>
      <c r="AF67" t="e">
        <f>AND(#REF!,"AAAAAH/D3x8=")</f>
        <v>#REF!</v>
      </c>
      <c r="AG67" t="e">
        <f>AND(#REF!,"AAAAAH/D3yA=")</f>
        <v>#REF!</v>
      </c>
      <c r="AH67" t="e">
        <f>AND(#REF!,"AAAAAH/D3yE=")</f>
        <v>#REF!</v>
      </c>
      <c r="AI67" t="e">
        <f>AND(#REF!,"AAAAAH/D3yI=")</f>
        <v>#REF!</v>
      </c>
      <c r="AJ67" t="e">
        <f>AND(#REF!,"AAAAAH/D3yM=")</f>
        <v>#REF!</v>
      </c>
      <c r="AK67" t="e">
        <f>AND(#REF!,"AAAAAH/D3yQ=")</f>
        <v>#REF!</v>
      </c>
      <c r="AL67" t="e">
        <f>AND(#REF!,"AAAAAH/D3yU=")</f>
        <v>#REF!</v>
      </c>
      <c r="AM67" t="e">
        <f>AND(#REF!,"AAAAAH/D3yY=")</f>
        <v>#REF!</v>
      </c>
      <c r="AN67" t="e">
        <f>AND(#REF!,"AAAAAH/D3yc=")</f>
        <v>#REF!</v>
      </c>
      <c r="AO67" t="e">
        <f>AND(#REF!,"AAAAAH/D3yg=")</f>
        <v>#REF!</v>
      </c>
      <c r="AP67" t="e">
        <f>AND(#REF!,"AAAAAH/D3yk=")</f>
        <v>#REF!</v>
      </c>
      <c r="AQ67" t="e">
        <f>AND(#REF!,"AAAAAH/D3yo=")</f>
        <v>#REF!</v>
      </c>
      <c r="AR67" t="e">
        <f>AND(#REF!,"AAAAAH/D3ys=")</f>
        <v>#REF!</v>
      </c>
      <c r="AS67" t="e">
        <f>AND(#REF!,"AAAAAH/D3yw=")</f>
        <v>#REF!</v>
      </c>
      <c r="AT67" t="e">
        <f>AND(#REF!,"AAAAAH/D3y0=")</f>
        <v>#REF!</v>
      </c>
      <c r="AU67" t="e">
        <f>AND(#REF!,"AAAAAH/D3y4=")</f>
        <v>#REF!</v>
      </c>
      <c r="AV67" t="e">
        <f>AND(#REF!,"AAAAAH/D3y8=")</f>
        <v>#REF!</v>
      </c>
      <c r="AW67" t="e">
        <f>IF(#REF!,"AAAAAH/D3zA=",0)</f>
        <v>#REF!</v>
      </c>
      <c r="AX67" t="e">
        <f>AND(#REF!,"AAAAAH/D3zE=")</f>
        <v>#REF!</v>
      </c>
      <c r="AY67" t="e">
        <f>AND(#REF!,"AAAAAH/D3zI=")</f>
        <v>#REF!</v>
      </c>
      <c r="AZ67" t="e">
        <f>AND(#REF!,"AAAAAH/D3zM=")</f>
        <v>#REF!</v>
      </c>
      <c r="BA67" t="e">
        <f>AND(#REF!,"AAAAAH/D3zQ=")</f>
        <v>#REF!</v>
      </c>
      <c r="BB67" t="e">
        <f>AND(#REF!,"AAAAAH/D3zU=")</f>
        <v>#REF!</v>
      </c>
      <c r="BC67" t="e">
        <f>AND(#REF!,"AAAAAH/D3zY=")</f>
        <v>#REF!</v>
      </c>
      <c r="BD67" t="e">
        <f>AND(#REF!,"AAAAAH/D3zc=")</f>
        <v>#REF!</v>
      </c>
      <c r="BE67" t="e">
        <f>AND(#REF!,"AAAAAH/D3zg=")</f>
        <v>#REF!</v>
      </c>
      <c r="BF67" t="e">
        <f>AND(#REF!,"AAAAAH/D3zk=")</f>
        <v>#REF!</v>
      </c>
      <c r="BG67" t="e">
        <f>AND(#REF!,"AAAAAH/D3zo=")</f>
        <v>#REF!</v>
      </c>
      <c r="BH67" t="e">
        <f>AND(#REF!,"AAAAAH/D3zs=")</f>
        <v>#REF!</v>
      </c>
      <c r="BI67" t="e">
        <f>AND(#REF!,"AAAAAH/D3zw=")</f>
        <v>#REF!</v>
      </c>
      <c r="BJ67" t="e">
        <f>AND(#REF!,"AAAAAH/D3z0=")</f>
        <v>#REF!</v>
      </c>
      <c r="BK67" t="e">
        <f>AND(#REF!,"AAAAAH/D3z4=")</f>
        <v>#REF!</v>
      </c>
      <c r="BL67" t="e">
        <f>AND(#REF!,"AAAAAH/D3z8=")</f>
        <v>#REF!</v>
      </c>
      <c r="BM67" t="e">
        <f>AND(#REF!,"AAAAAH/D30A=")</f>
        <v>#REF!</v>
      </c>
      <c r="BN67" t="e">
        <f>AND(#REF!,"AAAAAH/D30E=")</f>
        <v>#REF!</v>
      </c>
      <c r="BO67" t="e">
        <f>AND(#REF!,"AAAAAH/D30I=")</f>
        <v>#REF!</v>
      </c>
      <c r="BP67" t="e">
        <f>AND(#REF!,"AAAAAH/D30M=")</f>
        <v>#REF!</v>
      </c>
      <c r="BQ67" t="e">
        <f>AND(#REF!,"AAAAAH/D30Q=")</f>
        <v>#REF!</v>
      </c>
      <c r="BR67" t="e">
        <f>AND(#REF!,"AAAAAH/D30U=")</f>
        <v>#REF!</v>
      </c>
      <c r="BS67" t="e">
        <f>AND(#REF!,"AAAAAH/D30Y=")</f>
        <v>#REF!</v>
      </c>
      <c r="BT67" t="e">
        <f>AND(#REF!,"AAAAAH/D30c=")</f>
        <v>#REF!</v>
      </c>
      <c r="BU67" t="e">
        <f>AND(#REF!,"AAAAAH/D30g=")</f>
        <v>#REF!</v>
      </c>
      <c r="BV67" t="e">
        <f>AND(#REF!,"AAAAAH/D30k=")</f>
        <v>#REF!</v>
      </c>
      <c r="BW67" t="e">
        <f>AND(#REF!,"AAAAAH/D30o=")</f>
        <v>#REF!</v>
      </c>
      <c r="BX67" t="e">
        <f>IF(#REF!,"AAAAAH/D30s=",0)</f>
        <v>#REF!</v>
      </c>
      <c r="BY67" t="e">
        <f>AND(#REF!,"AAAAAH/D30w=")</f>
        <v>#REF!</v>
      </c>
      <c r="BZ67" t="e">
        <f>AND(#REF!,"AAAAAH/D300=")</f>
        <v>#REF!</v>
      </c>
      <c r="CA67" t="e">
        <f>AND(#REF!,"AAAAAH/D304=")</f>
        <v>#REF!</v>
      </c>
      <c r="CB67" t="e">
        <f>AND(#REF!,"AAAAAH/D308=")</f>
        <v>#REF!</v>
      </c>
      <c r="CC67" t="e">
        <f>AND(#REF!,"AAAAAH/D31A=")</f>
        <v>#REF!</v>
      </c>
      <c r="CD67" t="e">
        <f>AND(#REF!,"AAAAAH/D31E=")</f>
        <v>#REF!</v>
      </c>
      <c r="CE67" t="e">
        <f>AND(#REF!,"AAAAAH/D31I=")</f>
        <v>#REF!</v>
      </c>
      <c r="CF67" t="e">
        <f>AND(#REF!,"AAAAAH/D31M=")</f>
        <v>#REF!</v>
      </c>
      <c r="CG67" t="e">
        <f>AND(#REF!,"AAAAAH/D31Q=")</f>
        <v>#REF!</v>
      </c>
      <c r="CH67" t="e">
        <f>AND(#REF!,"AAAAAH/D31U=")</f>
        <v>#REF!</v>
      </c>
      <c r="CI67" t="e">
        <f>AND(#REF!,"AAAAAH/D31Y=")</f>
        <v>#REF!</v>
      </c>
      <c r="CJ67" t="e">
        <f>AND(#REF!,"AAAAAH/D31c=")</f>
        <v>#REF!</v>
      </c>
      <c r="CK67" t="e">
        <f>AND(#REF!,"AAAAAH/D31g=")</f>
        <v>#REF!</v>
      </c>
      <c r="CL67" t="e">
        <f>AND(#REF!,"AAAAAH/D31k=")</f>
        <v>#REF!</v>
      </c>
      <c r="CM67" t="e">
        <f>AND(#REF!,"AAAAAH/D31o=")</f>
        <v>#REF!</v>
      </c>
      <c r="CN67" t="e">
        <f>AND(#REF!,"AAAAAH/D31s=")</f>
        <v>#REF!</v>
      </c>
      <c r="CO67" t="e">
        <f>AND(#REF!,"AAAAAH/D31w=")</f>
        <v>#REF!</v>
      </c>
      <c r="CP67" t="e">
        <f>AND(#REF!,"AAAAAH/D310=")</f>
        <v>#REF!</v>
      </c>
      <c r="CQ67" t="e">
        <f>AND(#REF!,"AAAAAH/D314=")</f>
        <v>#REF!</v>
      </c>
      <c r="CR67" t="e">
        <f>AND(#REF!,"AAAAAH/D318=")</f>
        <v>#REF!</v>
      </c>
      <c r="CS67" t="e">
        <f>AND(#REF!,"AAAAAH/D32A=")</f>
        <v>#REF!</v>
      </c>
      <c r="CT67" t="e">
        <f>AND(#REF!,"AAAAAH/D32E=")</f>
        <v>#REF!</v>
      </c>
      <c r="CU67" t="e">
        <f>AND(#REF!,"AAAAAH/D32I=")</f>
        <v>#REF!</v>
      </c>
      <c r="CV67" t="e">
        <f>AND(#REF!,"AAAAAH/D32M=")</f>
        <v>#REF!</v>
      </c>
      <c r="CW67" t="e">
        <f>AND(#REF!,"AAAAAH/D32Q=")</f>
        <v>#REF!</v>
      </c>
      <c r="CX67" t="e">
        <f>AND(#REF!,"AAAAAH/D32U=")</f>
        <v>#REF!</v>
      </c>
      <c r="CY67" t="e">
        <f>IF(#REF!,"AAAAAH/D32Y=",0)</f>
        <v>#REF!</v>
      </c>
      <c r="CZ67" t="e">
        <f>AND(#REF!,"AAAAAH/D32c=")</f>
        <v>#REF!</v>
      </c>
      <c r="DA67" t="e">
        <f>AND(#REF!,"AAAAAH/D32g=")</f>
        <v>#REF!</v>
      </c>
      <c r="DB67" t="e">
        <f>AND(#REF!,"AAAAAH/D32k=")</f>
        <v>#REF!</v>
      </c>
      <c r="DC67" t="e">
        <f>AND(#REF!,"AAAAAH/D32o=")</f>
        <v>#REF!</v>
      </c>
      <c r="DD67" t="e">
        <f>AND(#REF!,"AAAAAH/D32s=")</f>
        <v>#REF!</v>
      </c>
      <c r="DE67" t="e">
        <f>AND(#REF!,"AAAAAH/D32w=")</f>
        <v>#REF!</v>
      </c>
      <c r="DF67" t="e">
        <f>AND(#REF!,"AAAAAH/D320=")</f>
        <v>#REF!</v>
      </c>
      <c r="DG67" t="e">
        <f>AND(#REF!,"AAAAAH/D324=")</f>
        <v>#REF!</v>
      </c>
      <c r="DH67" t="e">
        <f>AND(#REF!,"AAAAAH/D328=")</f>
        <v>#REF!</v>
      </c>
      <c r="DI67" t="e">
        <f>AND(#REF!,"AAAAAH/D33A=")</f>
        <v>#REF!</v>
      </c>
      <c r="DJ67" t="e">
        <f>AND(#REF!,"AAAAAH/D33E=")</f>
        <v>#REF!</v>
      </c>
      <c r="DK67" t="e">
        <f>AND(#REF!,"AAAAAH/D33I=")</f>
        <v>#REF!</v>
      </c>
      <c r="DL67" t="e">
        <f>AND(#REF!,"AAAAAH/D33M=")</f>
        <v>#REF!</v>
      </c>
      <c r="DM67" t="e">
        <f>AND(#REF!,"AAAAAH/D33Q=")</f>
        <v>#REF!</v>
      </c>
      <c r="DN67" t="e">
        <f>AND(#REF!,"AAAAAH/D33U=")</f>
        <v>#REF!</v>
      </c>
      <c r="DO67" t="e">
        <f>AND(#REF!,"AAAAAH/D33Y=")</f>
        <v>#REF!</v>
      </c>
      <c r="DP67" t="e">
        <f>AND(#REF!,"AAAAAH/D33c=")</f>
        <v>#REF!</v>
      </c>
      <c r="DQ67" t="e">
        <f>AND(#REF!,"AAAAAH/D33g=")</f>
        <v>#REF!</v>
      </c>
      <c r="DR67" t="e">
        <f>AND(#REF!,"AAAAAH/D33k=")</f>
        <v>#REF!</v>
      </c>
      <c r="DS67" t="e">
        <f>AND(#REF!,"AAAAAH/D33o=")</f>
        <v>#REF!</v>
      </c>
      <c r="DT67" t="e">
        <f>AND(#REF!,"AAAAAH/D33s=")</f>
        <v>#REF!</v>
      </c>
      <c r="DU67" t="e">
        <f>AND(#REF!,"AAAAAH/D33w=")</f>
        <v>#REF!</v>
      </c>
      <c r="DV67" t="e">
        <f>AND(#REF!,"AAAAAH/D330=")</f>
        <v>#REF!</v>
      </c>
      <c r="DW67" t="e">
        <f>AND(#REF!,"AAAAAH/D334=")</f>
        <v>#REF!</v>
      </c>
      <c r="DX67" t="e">
        <f>AND(#REF!,"AAAAAH/D338=")</f>
        <v>#REF!</v>
      </c>
      <c r="DY67" t="e">
        <f>AND(#REF!,"AAAAAH/D34A=")</f>
        <v>#REF!</v>
      </c>
      <c r="DZ67" t="e">
        <f>IF(#REF!,"AAAAAH/D34E=",0)</f>
        <v>#REF!</v>
      </c>
      <c r="EA67" t="e">
        <f>AND(#REF!,"AAAAAH/D34I=")</f>
        <v>#REF!</v>
      </c>
      <c r="EB67" t="e">
        <f>AND(#REF!,"AAAAAH/D34M=")</f>
        <v>#REF!</v>
      </c>
      <c r="EC67" t="e">
        <f>AND(#REF!,"AAAAAH/D34Q=")</f>
        <v>#REF!</v>
      </c>
      <c r="ED67" t="e">
        <f>AND(#REF!,"AAAAAH/D34U=")</f>
        <v>#REF!</v>
      </c>
      <c r="EE67" t="e">
        <f>AND(#REF!,"AAAAAH/D34Y=")</f>
        <v>#REF!</v>
      </c>
      <c r="EF67" t="e">
        <f>AND(#REF!,"AAAAAH/D34c=")</f>
        <v>#REF!</v>
      </c>
      <c r="EG67" t="e">
        <f>AND(#REF!,"AAAAAH/D34g=")</f>
        <v>#REF!</v>
      </c>
      <c r="EH67" t="e">
        <f>AND(#REF!,"AAAAAH/D34k=")</f>
        <v>#REF!</v>
      </c>
      <c r="EI67" t="e">
        <f>AND(#REF!,"AAAAAH/D34o=")</f>
        <v>#REF!</v>
      </c>
      <c r="EJ67" t="e">
        <f>AND(#REF!,"AAAAAH/D34s=")</f>
        <v>#REF!</v>
      </c>
      <c r="EK67" t="e">
        <f>AND(#REF!,"AAAAAH/D34w=")</f>
        <v>#REF!</v>
      </c>
      <c r="EL67" t="e">
        <f>AND(#REF!,"AAAAAH/D340=")</f>
        <v>#REF!</v>
      </c>
      <c r="EM67" t="e">
        <f>AND(#REF!,"AAAAAH/D344=")</f>
        <v>#REF!</v>
      </c>
      <c r="EN67" t="e">
        <f>AND(#REF!,"AAAAAH/D348=")</f>
        <v>#REF!</v>
      </c>
      <c r="EO67" t="e">
        <f>AND(#REF!,"AAAAAH/D35A=")</f>
        <v>#REF!</v>
      </c>
      <c r="EP67" t="e">
        <f>AND(#REF!,"AAAAAH/D35E=")</f>
        <v>#REF!</v>
      </c>
      <c r="EQ67" t="e">
        <f>AND(#REF!,"AAAAAH/D35I=")</f>
        <v>#REF!</v>
      </c>
      <c r="ER67" t="e">
        <f>AND(#REF!,"AAAAAH/D35M=")</f>
        <v>#REF!</v>
      </c>
      <c r="ES67" t="e">
        <f>AND(#REF!,"AAAAAH/D35Q=")</f>
        <v>#REF!</v>
      </c>
      <c r="ET67" t="e">
        <f>AND(#REF!,"AAAAAH/D35U=")</f>
        <v>#REF!</v>
      </c>
      <c r="EU67" t="e">
        <f>AND(#REF!,"AAAAAH/D35Y=")</f>
        <v>#REF!</v>
      </c>
      <c r="EV67" t="e">
        <f>AND(#REF!,"AAAAAH/D35c=")</f>
        <v>#REF!</v>
      </c>
      <c r="EW67" t="e">
        <f>AND(#REF!,"AAAAAH/D35g=")</f>
        <v>#REF!</v>
      </c>
      <c r="EX67" t="e">
        <f>AND(#REF!,"AAAAAH/D35k=")</f>
        <v>#REF!</v>
      </c>
      <c r="EY67" t="e">
        <f>AND(#REF!,"AAAAAH/D35o=")</f>
        <v>#REF!</v>
      </c>
      <c r="EZ67" t="e">
        <f>AND(#REF!,"AAAAAH/D35s=")</f>
        <v>#REF!</v>
      </c>
      <c r="FA67" t="e">
        <f>IF(#REF!,"AAAAAH/D35w=",0)</f>
        <v>#REF!</v>
      </c>
      <c r="FB67" t="e">
        <f>AND(#REF!,"AAAAAH/D350=")</f>
        <v>#REF!</v>
      </c>
      <c r="FC67" t="e">
        <f>AND(#REF!,"AAAAAH/D354=")</f>
        <v>#REF!</v>
      </c>
      <c r="FD67" t="e">
        <f>AND(#REF!,"AAAAAH/D358=")</f>
        <v>#REF!</v>
      </c>
      <c r="FE67" t="e">
        <f>AND(#REF!,"AAAAAH/D36A=")</f>
        <v>#REF!</v>
      </c>
      <c r="FF67" t="e">
        <f>AND(#REF!,"AAAAAH/D36E=")</f>
        <v>#REF!</v>
      </c>
      <c r="FG67" t="e">
        <f>AND(#REF!,"AAAAAH/D36I=")</f>
        <v>#REF!</v>
      </c>
      <c r="FH67" t="e">
        <f>AND(#REF!,"AAAAAH/D36M=")</f>
        <v>#REF!</v>
      </c>
      <c r="FI67" t="e">
        <f>AND(#REF!,"AAAAAH/D36Q=")</f>
        <v>#REF!</v>
      </c>
      <c r="FJ67" t="e">
        <f>AND(#REF!,"AAAAAH/D36U=")</f>
        <v>#REF!</v>
      </c>
      <c r="FK67" t="e">
        <f>AND(#REF!,"AAAAAH/D36Y=")</f>
        <v>#REF!</v>
      </c>
      <c r="FL67" t="e">
        <f>AND(#REF!,"AAAAAH/D36c=")</f>
        <v>#REF!</v>
      </c>
      <c r="FM67" t="e">
        <f>AND(#REF!,"AAAAAH/D36g=")</f>
        <v>#REF!</v>
      </c>
      <c r="FN67" t="e">
        <f>AND(#REF!,"AAAAAH/D36k=")</f>
        <v>#REF!</v>
      </c>
      <c r="FO67" t="e">
        <f>AND(#REF!,"AAAAAH/D36o=")</f>
        <v>#REF!</v>
      </c>
      <c r="FP67" t="e">
        <f>AND(#REF!,"AAAAAH/D36s=")</f>
        <v>#REF!</v>
      </c>
      <c r="FQ67" t="e">
        <f>AND(#REF!,"AAAAAH/D36w=")</f>
        <v>#REF!</v>
      </c>
      <c r="FR67" t="e">
        <f>AND(#REF!,"AAAAAH/D360=")</f>
        <v>#REF!</v>
      </c>
      <c r="FS67" t="e">
        <f>AND(#REF!,"AAAAAH/D364=")</f>
        <v>#REF!</v>
      </c>
      <c r="FT67" t="e">
        <f>AND(#REF!,"AAAAAH/D368=")</f>
        <v>#REF!</v>
      </c>
      <c r="FU67" t="e">
        <f>AND(#REF!,"AAAAAH/D37A=")</f>
        <v>#REF!</v>
      </c>
      <c r="FV67" t="e">
        <f>AND(#REF!,"AAAAAH/D37E=")</f>
        <v>#REF!</v>
      </c>
      <c r="FW67" t="e">
        <f>AND(#REF!,"AAAAAH/D37I=")</f>
        <v>#REF!</v>
      </c>
      <c r="FX67" t="e">
        <f>AND(#REF!,"AAAAAH/D37M=")</f>
        <v>#REF!</v>
      </c>
      <c r="FY67" t="e">
        <f>AND(#REF!,"AAAAAH/D37Q=")</f>
        <v>#REF!</v>
      </c>
      <c r="FZ67" t="e">
        <f>AND(#REF!,"AAAAAH/D37U=")</f>
        <v>#REF!</v>
      </c>
      <c r="GA67" t="e">
        <f>AND(#REF!,"AAAAAH/D37Y=")</f>
        <v>#REF!</v>
      </c>
      <c r="GB67" t="e">
        <f>IF(#REF!,"AAAAAH/D37c=",0)</f>
        <v>#REF!</v>
      </c>
      <c r="GC67" t="e">
        <f>AND(#REF!,"AAAAAH/D37g=")</f>
        <v>#REF!</v>
      </c>
      <c r="GD67" t="e">
        <f>AND(#REF!,"AAAAAH/D37k=")</f>
        <v>#REF!</v>
      </c>
      <c r="GE67" t="e">
        <f>AND(#REF!,"AAAAAH/D37o=")</f>
        <v>#REF!</v>
      </c>
      <c r="GF67" t="e">
        <f>AND(#REF!,"AAAAAH/D37s=")</f>
        <v>#REF!</v>
      </c>
      <c r="GG67" t="e">
        <f>AND(#REF!,"AAAAAH/D37w=")</f>
        <v>#REF!</v>
      </c>
      <c r="GH67" t="e">
        <f>AND(#REF!,"AAAAAH/D370=")</f>
        <v>#REF!</v>
      </c>
      <c r="GI67" t="e">
        <f>AND(#REF!,"AAAAAH/D374=")</f>
        <v>#REF!</v>
      </c>
      <c r="GJ67" t="e">
        <f>AND(#REF!,"AAAAAH/D378=")</f>
        <v>#REF!</v>
      </c>
      <c r="GK67" t="e">
        <f>AND(#REF!,"AAAAAH/D38A=")</f>
        <v>#REF!</v>
      </c>
      <c r="GL67" t="e">
        <f>AND(#REF!,"AAAAAH/D38E=")</f>
        <v>#REF!</v>
      </c>
      <c r="GM67" t="e">
        <f>AND(#REF!,"AAAAAH/D38I=")</f>
        <v>#REF!</v>
      </c>
      <c r="GN67" t="e">
        <f>AND(#REF!,"AAAAAH/D38M=")</f>
        <v>#REF!</v>
      </c>
      <c r="GO67" t="e">
        <f>AND(#REF!,"AAAAAH/D38Q=")</f>
        <v>#REF!</v>
      </c>
      <c r="GP67" t="e">
        <f>AND(#REF!,"AAAAAH/D38U=")</f>
        <v>#REF!</v>
      </c>
      <c r="GQ67" t="e">
        <f>AND(#REF!,"AAAAAH/D38Y=")</f>
        <v>#REF!</v>
      </c>
      <c r="GR67" t="e">
        <f>AND(#REF!,"AAAAAH/D38c=")</f>
        <v>#REF!</v>
      </c>
      <c r="GS67" t="e">
        <f>AND(#REF!,"AAAAAH/D38g=")</f>
        <v>#REF!</v>
      </c>
      <c r="GT67" t="e">
        <f>AND(#REF!,"AAAAAH/D38k=")</f>
        <v>#REF!</v>
      </c>
      <c r="GU67" t="e">
        <f>AND(#REF!,"AAAAAH/D38o=")</f>
        <v>#REF!</v>
      </c>
      <c r="GV67" t="e">
        <f>AND(#REF!,"AAAAAH/D38s=")</f>
        <v>#REF!</v>
      </c>
      <c r="GW67" t="e">
        <f>AND(#REF!,"AAAAAH/D38w=")</f>
        <v>#REF!</v>
      </c>
      <c r="GX67" t="e">
        <f>AND(#REF!,"AAAAAH/D380=")</f>
        <v>#REF!</v>
      </c>
      <c r="GY67" t="e">
        <f>AND(#REF!,"AAAAAH/D384=")</f>
        <v>#REF!</v>
      </c>
      <c r="GZ67" t="e">
        <f>AND(#REF!,"AAAAAH/D388=")</f>
        <v>#REF!</v>
      </c>
      <c r="HA67" t="e">
        <f>AND(#REF!,"AAAAAH/D39A=")</f>
        <v>#REF!</v>
      </c>
      <c r="HB67" t="e">
        <f>AND(#REF!,"AAAAAH/D39E=")</f>
        <v>#REF!</v>
      </c>
      <c r="HC67" t="e">
        <f>IF(#REF!,"AAAAAH/D39I=",0)</f>
        <v>#REF!</v>
      </c>
      <c r="HD67" t="e">
        <f>AND(#REF!,"AAAAAH/D39M=")</f>
        <v>#REF!</v>
      </c>
      <c r="HE67" t="e">
        <f>AND(#REF!,"AAAAAH/D39Q=")</f>
        <v>#REF!</v>
      </c>
      <c r="HF67" t="e">
        <f>AND(#REF!,"AAAAAH/D39U=")</f>
        <v>#REF!</v>
      </c>
      <c r="HG67" t="e">
        <f>AND(#REF!,"AAAAAH/D39Y=")</f>
        <v>#REF!</v>
      </c>
      <c r="HH67" t="e">
        <f>AND(#REF!,"AAAAAH/D39c=")</f>
        <v>#REF!</v>
      </c>
      <c r="HI67" t="e">
        <f>AND(#REF!,"AAAAAH/D39g=")</f>
        <v>#REF!</v>
      </c>
      <c r="HJ67" t="e">
        <f>AND(#REF!,"AAAAAH/D39k=")</f>
        <v>#REF!</v>
      </c>
      <c r="HK67" t="e">
        <f>AND(#REF!,"AAAAAH/D39o=")</f>
        <v>#REF!</v>
      </c>
      <c r="HL67" t="e">
        <f>AND(#REF!,"AAAAAH/D39s=")</f>
        <v>#REF!</v>
      </c>
      <c r="HM67" t="e">
        <f>AND(#REF!,"AAAAAH/D39w=")</f>
        <v>#REF!</v>
      </c>
      <c r="HN67" t="e">
        <f>AND(#REF!,"AAAAAH/D390=")</f>
        <v>#REF!</v>
      </c>
      <c r="HO67" t="e">
        <f>AND(#REF!,"AAAAAH/D394=")</f>
        <v>#REF!</v>
      </c>
      <c r="HP67" t="e">
        <f>AND(#REF!,"AAAAAH/D398=")</f>
        <v>#REF!</v>
      </c>
      <c r="HQ67" t="e">
        <f>AND(#REF!,"AAAAAH/D3+A=")</f>
        <v>#REF!</v>
      </c>
      <c r="HR67" t="e">
        <f>AND(#REF!,"AAAAAH/D3+E=")</f>
        <v>#REF!</v>
      </c>
      <c r="HS67" t="e">
        <f>AND(#REF!,"AAAAAH/D3+I=")</f>
        <v>#REF!</v>
      </c>
      <c r="HT67" t="e">
        <f>AND(#REF!,"AAAAAH/D3+M=")</f>
        <v>#REF!</v>
      </c>
      <c r="HU67" t="e">
        <f>AND(#REF!,"AAAAAH/D3+Q=")</f>
        <v>#REF!</v>
      </c>
      <c r="HV67" t="e">
        <f>AND(#REF!,"AAAAAH/D3+U=")</f>
        <v>#REF!</v>
      </c>
      <c r="HW67" t="e">
        <f>AND(#REF!,"AAAAAH/D3+Y=")</f>
        <v>#REF!</v>
      </c>
      <c r="HX67" t="e">
        <f>AND(#REF!,"AAAAAH/D3+c=")</f>
        <v>#REF!</v>
      </c>
      <c r="HY67" t="e">
        <f>AND(#REF!,"AAAAAH/D3+g=")</f>
        <v>#REF!</v>
      </c>
      <c r="HZ67" t="e">
        <f>AND(#REF!,"AAAAAH/D3+k=")</f>
        <v>#REF!</v>
      </c>
      <c r="IA67" t="e">
        <f>AND(#REF!,"AAAAAH/D3+o=")</f>
        <v>#REF!</v>
      </c>
      <c r="IB67" t="e">
        <f>AND(#REF!,"AAAAAH/D3+s=")</f>
        <v>#REF!</v>
      </c>
      <c r="IC67" t="e">
        <f>AND(#REF!,"AAAAAH/D3+w=")</f>
        <v>#REF!</v>
      </c>
      <c r="ID67" t="e">
        <f>IF(#REF!,"AAAAAH/D3+0=",0)</f>
        <v>#REF!</v>
      </c>
      <c r="IE67" t="e">
        <f>AND(#REF!,"AAAAAH/D3+4=")</f>
        <v>#REF!</v>
      </c>
      <c r="IF67" t="e">
        <f>AND(#REF!,"AAAAAH/D3+8=")</f>
        <v>#REF!</v>
      </c>
      <c r="IG67" t="e">
        <f>AND(#REF!,"AAAAAH/D3/A=")</f>
        <v>#REF!</v>
      </c>
      <c r="IH67" t="e">
        <f>AND(#REF!,"AAAAAH/D3/E=")</f>
        <v>#REF!</v>
      </c>
      <c r="II67" t="e">
        <f>AND(#REF!,"AAAAAH/D3/I=")</f>
        <v>#REF!</v>
      </c>
      <c r="IJ67" t="e">
        <f>AND(#REF!,"AAAAAH/D3/M=")</f>
        <v>#REF!</v>
      </c>
      <c r="IK67" t="e">
        <f>AND(#REF!,"AAAAAH/D3/Q=")</f>
        <v>#REF!</v>
      </c>
      <c r="IL67" t="e">
        <f>AND(#REF!,"AAAAAH/D3/U=")</f>
        <v>#REF!</v>
      </c>
      <c r="IM67" t="e">
        <f>AND(#REF!,"AAAAAH/D3/Y=")</f>
        <v>#REF!</v>
      </c>
      <c r="IN67" t="e">
        <f>AND(#REF!,"AAAAAH/D3/c=")</f>
        <v>#REF!</v>
      </c>
      <c r="IO67" t="e">
        <f>AND(#REF!,"AAAAAH/D3/g=")</f>
        <v>#REF!</v>
      </c>
      <c r="IP67" t="e">
        <f>AND(#REF!,"AAAAAH/D3/k=")</f>
        <v>#REF!</v>
      </c>
      <c r="IQ67" t="e">
        <f>AND(#REF!,"AAAAAH/D3/o=")</f>
        <v>#REF!</v>
      </c>
      <c r="IR67" t="e">
        <f>AND(#REF!,"AAAAAH/D3/s=")</f>
        <v>#REF!</v>
      </c>
      <c r="IS67" t="e">
        <f>AND(#REF!,"AAAAAH/D3/w=")</f>
        <v>#REF!</v>
      </c>
      <c r="IT67" t="e">
        <f>AND(#REF!,"AAAAAH/D3/0=")</f>
        <v>#REF!</v>
      </c>
      <c r="IU67" t="e">
        <f>AND(#REF!,"AAAAAH/D3/4=")</f>
        <v>#REF!</v>
      </c>
      <c r="IV67" t="e">
        <f>AND(#REF!,"AAAAAH/D3/8=")</f>
        <v>#REF!</v>
      </c>
    </row>
    <row r="68" spans="1:256" x14ac:dyDescent="0.2">
      <c r="A68" t="e">
        <f>AND(#REF!,"AAAAAHjfjwA=")</f>
        <v>#REF!</v>
      </c>
      <c r="B68" t="e">
        <f>AND(#REF!,"AAAAAHjfjwE=")</f>
        <v>#REF!</v>
      </c>
      <c r="C68" t="e">
        <f>AND(#REF!,"AAAAAHjfjwI=")</f>
        <v>#REF!</v>
      </c>
      <c r="D68" t="e">
        <f>AND(#REF!,"AAAAAHjfjwM=")</f>
        <v>#REF!</v>
      </c>
      <c r="E68" t="e">
        <f>AND(#REF!,"AAAAAHjfjwQ=")</f>
        <v>#REF!</v>
      </c>
      <c r="F68" t="e">
        <f>AND(#REF!,"AAAAAHjfjwU=")</f>
        <v>#REF!</v>
      </c>
      <c r="G68" t="e">
        <f>AND(#REF!,"AAAAAHjfjwY=")</f>
        <v>#REF!</v>
      </c>
      <c r="H68" t="e">
        <f>AND(#REF!,"AAAAAHjfjwc=")</f>
        <v>#REF!</v>
      </c>
      <c r="I68" t="e">
        <f>IF(#REF!,"AAAAAHjfjwg=",0)</f>
        <v>#REF!</v>
      </c>
      <c r="J68" t="e">
        <f>AND(#REF!,"AAAAAHjfjwk=")</f>
        <v>#REF!</v>
      </c>
      <c r="K68" t="e">
        <f>AND(#REF!,"AAAAAHjfjwo=")</f>
        <v>#REF!</v>
      </c>
      <c r="L68" t="e">
        <f>AND(#REF!,"AAAAAHjfjws=")</f>
        <v>#REF!</v>
      </c>
      <c r="M68" t="e">
        <f>AND(#REF!,"AAAAAHjfjww=")</f>
        <v>#REF!</v>
      </c>
      <c r="N68" t="e">
        <f>AND(#REF!,"AAAAAHjfjw0=")</f>
        <v>#REF!</v>
      </c>
      <c r="O68" t="e">
        <f>AND(#REF!,"AAAAAHjfjw4=")</f>
        <v>#REF!</v>
      </c>
      <c r="P68" t="e">
        <f>AND(#REF!,"AAAAAHjfjw8=")</f>
        <v>#REF!</v>
      </c>
      <c r="Q68" t="e">
        <f>AND(#REF!,"AAAAAHjfjxA=")</f>
        <v>#REF!</v>
      </c>
      <c r="R68" t="e">
        <f>AND(#REF!,"AAAAAHjfjxE=")</f>
        <v>#REF!</v>
      </c>
      <c r="S68" t="e">
        <f>AND(#REF!,"AAAAAHjfjxI=")</f>
        <v>#REF!</v>
      </c>
      <c r="T68" t="e">
        <f>AND(#REF!,"AAAAAHjfjxM=")</f>
        <v>#REF!</v>
      </c>
      <c r="U68" t="e">
        <f>AND(#REF!,"AAAAAHjfjxQ=")</f>
        <v>#REF!</v>
      </c>
      <c r="V68" t="e">
        <f>AND(#REF!,"AAAAAHjfjxU=")</f>
        <v>#REF!</v>
      </c>
      <c r="W68" t="e">
        <f>AND(#REF!,"AAAAAHjfjxY=")</f>
        <v>#REF!</v>
      </c>
      <c r="X68" t="e">
        <f>AND(#REF!,"AAAAAHjfjxc=")</f>
        <v>#REF!</v>
      </c>
      <c r="Y68" t="e">
        <f>AND(#REF!,"AAAAAHjfjxg=")</f>
        <v>#REF!</v>
      </c>
      <c r="Z68" t="e">
        <f>AND(#REF!,"AAAAAHjfjxk=")</f>
        <v>#REF!</v>
      </c>
      <c r="AA68" t="e">
        <f>AND(#REF!,"AAAAAHjfjxo=")</f>
        <v>#REF!</v>
      </c>
      <c r="AB68" t="e">
        <f>AND(#REF!,"AAAAAHjfjxs=")</f>
        <v>#REF!</v>
      </c>
      <c r="AC68" t="e">
        <f>AND(#REF!,"AAAAAHjfjxw=")</f>
        <v>#REF!</v>
      </c>
      <c r="AD68" t="e">
        <f>AND(#REF!,"AAAAAHjfjx0=")</f>
        <v>#REF!</v>
      </c>
      <c r="AE68" t="e">
        <f>AND(#REF!,"AAAAAHjfjx4=")</f>
        <v>#REF!</v>
      </c>
      <c r="AF68" t="e">
        <f>AND(#REF!,"AAAAAHjfjx8=")</f>
        <v>#REF!</v>
      </c>
      <c r="AG68" t="e">
        <f>AND(#REF!,"AAAAAHjfjyA=")</f>
        <v>#REF!</v>
      </c>
      <c r="AH68" t="e">
        <f>AND(#REF!,"AAAAAHjfjyE=")</f>
        <v>#REF!</v>
      </c>
      <c r="AI68" t="e">
        <f>AND(#REF!,"AAAAAHjfjyI=")</f>
        <v>#REF!</v>
      </c>
      <c r="AJ68" t="e">
        <f>IF(#REF!,"AAAAAHjfjyM=",0)</f>
        <v>#REF!</v>
      </c>
      <c r="AK68" t="e">
        <f>AND(#REF!,"AAAAAHjfjyQ=")</f>
        <v>#REF!</v>
      </c>
      <c r="AL68" t="e">
        <f>AND(#REF!,"AAAAAHjfjyU=")</f>
        <v>#REF!</v>
      </c>
      <c r="AM68" t="e">
        <f>AND(#REF!,"AAAAAHjfjyY=")</f>
        <v>#REF!</v>
      </c>
      <c r="AN68" t="e">
        <f>AND(#REF!,"AAAAAHjfjyc=")</f>
        <v>#REF!</v>
      </c>
      <c r="AO68" t="e">
        <f>AND(#REF!,"AAAAAHjfjyg=")</f>
        <v>#REF!</v>
      </c>
      <c r="AP68" t="e">
        <f>AND(#REF!,"AAAAAHjfjyk=")</f>
        <v>#REF!</v>
      </c>
      <c r="AQ68" t="e">
        <f>AND(#REF!,"AAAAAHjfjyo=")</f>
        <v>#REF!</v>
      </c>
      <c r="AR68" t="e">
        <f>AND(#REF!,"AAAAAHjfjys=")</f>
        <v>#REF!</v>
      </c>
      <c r="AS68" t="e">
        <f>AND(#REF!,"AAAAAHjfjyw=")</f>
        <v>#REF!</v>
      </c>
      <c r="AT68" t="e">
        <f>AND(#REF!,"AAAAAHjfjy0=")</f>
        <v>#REF!</v>
      </c>
      <c r="AU68" t="e">
        <f>AND(#REF!,"AAAAAHjfjy4=")</f>
        <v>#REF!</v>
      </c>
      <c r="AV68" t="e">
        <f>AND(#REF!,"AAAAAHjfjy8=")</f>
        <v>#REF!</v>
      </c>
      <c r="AW68" t="e">
        <f>AND(#REF!,"AAAAAHjfjzA=")</f>
        <v>#REF!</v>
      </c>
      <c r="AX68" t="e">
        <f>AND(#REF!,"AAAAAHjfjzE=")</f>
        <v>#REF!</v>
      </c>
      <c r="AY68" t="e">
        <f>AND(#REF!,"AAAAAHjfjzI=")</f>
        <v>#REF!</v>
      </c>
      <c r="AZ68" t="e">
        <f>AND(#REF!,"AAAAAHjfjzM=")</f>
        <v>#REF!</v>
      </c>
      <c r="BA68" t="e">
        <f>AND(#REF!,"AAAAAHjfjzQ=")</f>
        <v>#REF!</v>
      </c>
      <c r="BB68" t="e">
        <f>AND(#REF!,"AAAAAHjfjzU=")</f>
        <v>#REF!</v>
      </c>
      <c r="BC68" t="e">
        <f>AND(#REF!,"AAAAAHjfjzY=")</f>
        <v>#REF!</v>
      </c>
      <c r="BD68" t="e">
        <f>AND(#REF!,"AAAAAHjfjzc=")</f>
        <v>#REF!</v>
      </c>
      <c r="BE68" t="e">
        <f>AND(#REF!,"AAAAAHjfjzg=")</f>
        <v>#REF!</v>
      </c>
      <c r="BF68" t="e">
        <f>AND(#REF!,"AAAAAHjfjzk=")</f>
        <v>#REF!</v>
      </c>
      <c r="BG68" t="e">
        <f>AND(#REF!,"AAAAAHjfjzo=")</f>
        <v>#REF!</v>
      </c>
      <c r="BH68" t="e">
        <f>AND(#REF!,"AAAAAHjfjzs=")</f>
        <v>#REF!</v>
      </c>
      <c r="BI68" t="e">
        <f>AND(#REF!,"AAAAAHjfjzw=")</f>
        <v>#REF!</v>
      </c>
      <c r="BJ68" t="e">
        <f>AND(#REF!,"AAAAAHjfjz0=")</f>
        <v>#REF!</v>
      </c>
      <c r="BK68" t="e">
        <f>IF(#REF!,"AAAAAHjfjz4=",0)</f>
        <v>#REF!</v>
      </c>
      <c r="BL68" t="e">
        <f>AND(#REF!,"AAAAAHjfjz8=")</f>
        <v>#REF!</v>
      </c>
      <c r="BM68" t="e">
        <f>AND(#REF!,"AAAAAHjfj0A=")</f>
        <v>#REF!</v>
      </c>
      <c r="BN68" t="e">
        <f>AND(#REF!,"AAAAAHjfj0E=")</f>
        <v>#REF!</v>
      </c>
      <c r="BO68" t="e">
        <f>AND(#REF!,"AAAAAHjfj0I=")</f>
        <v>#REF!</v>
      </c>
      <c r="BP68" t="e">
        <f>AND(#REF!,"AAAAAHjfj0M=")</f>
        <v>#REF!</v>
      </c>
      <c r="BQ68" t="e">
        <f>AND(#REF!,"AAAAAHjfj0Q=")</f>
        <v>#REF!</v>
      </c>
      <c r="BR68" t="e">
        <f>AND(#REF!,"AAAAAHjfj0U=")</f>
        <v>#REF!</v>
      </c>
      <c r="BS68" t="e">
        <f>AND(#REF!,"AAAAAHjfj0Y=")</f>
        <v>#REF!</v>
      </c>
      <c r="BT68" t="e">
        <f>AND(#REF!,"AAAAAHjfj0c=")</f>
        <v>#REF!</v>
      </c>
      <c r="BU68" t="e">
        <f>AND(#REF!,"AAAAAHjfj0g=")</f>
        <v>#REF!</v>
      </c>
      <c r="BV68" t="e">
        <f>AND(#REF!,"AAAAAHjfj0k=")</f>
        <v>#REF!</v>
      </c>
      <c r="BW68" t="e">
        <f>AND(#REF!,"AAAAAHjfj0o=")</f>
        <v>#REF!</v>
      </c>
      <c r="BX68" t="e">
        <f>AND(#REF!,"AAAAAHjfj0s=")</f>
        <v>#REF!</v>
      </c>
      <c r="BY68" t="e">
        <f>AND(#REF!,"AAAAAHjfj0w=")</f>
        <v>#REF!</v>
      </c>
      <c r="BZ68" t="e">
        <f>AND(#REF!,"AAAAAHjfj00=")</f>
        <v>#REF!</v>
      </c>
      <c r="CA68" t="e">
        <f>AND(#REF!,"AAAAAHjfj04=")</f>
        <v>#REF!</v>
      </c>
      <c r="CB68" t="e">
        <f>AND(#REF!,"AAAAAHjfj08=")</f>
        <v>#REF!</v>
      </c>
      <c r="CC68" t="e">
        <f>AND(#REF!,"AAAAAHjfj1A=")</f>
        <v>#REF!</v>
      </c>
      <c r="CD68" t="e">
        <f>AND(#REF!,"AAAAAHjfj1E=")</f>
        <v>#REF!</v>
      </c>
      <c r="CE68" t="e">
        <f>AND(#REF!,"AAAAAHjfj1I=")</f>
        <v>#REF!</v>
      </c>
      <c r="CF68" t="e">
        <f>AND(#REF!,"AAAAAHjfj1M=")</f>
        <v>#REF!</v>
      </c>
      <c r="CG68" t="e">
        <f>AND(#REF!,"AAAAAHjfj1Q=")</f>
        <v>#REF!</v>
      </c>
      <c r="CH68" t="e">
        <f>AND(#REF!,"AAAAAHjfj1U=")</f>
        <v>#REF!</v>
      </c>
      <c r="CI68" t="e">
        <f>AND(#REF!,"AAAAAHjfj1Y=")</f>
        <v>#REF!</v>
      </c>
      <c r="CJ68" t="e">
        <f>AND(#REF!,"AAAAAHjfj1c=")</f>
        <v>#REF!</v>
      </c>
      <c r="CK68" t="e">
        <f>AND(#REF!,"AAAAAHjfj1g=")</f>
        <v>#REF!</v>
      </c>
      <c r="CL68" t="e">
        <f>IF(#REF!,"AAAAAHjfj1k=",0)</f>
        <v>#REF!</v>
      </c>
      <c r="CM68" t="e">
        <f>AND(#REF!,"AAAAAHjfj1o=")</f>
        <v>#REF!</v>
      </c>
      <c r="CN68" t="e">
        <f>AND(#REF!,"AAAAAHjfj1s=")</f>
        <v>#REF!</v>
      </c>
      <c r="CO68" t="e">
        <f>AND(#REF!,"AAAAAHjfj1w=")</f>
        <v>#REF!</v>
      </c>
      <c r="CP68" t="e">
        <f>AND(#REF!,"AAAAAHjfj10=")</f>
        <v>#REF!</v>
      </c>
      <c r="CQ68" t="e">
        <f>AND(#REF!,"AAAAAHjfj14=")</f>
        <v>#REF!</v>
      </c>
      <c r="CR68" t="e">
        <f>AND(#REF!,"AAAAAHjfj18=")</f>
        <v>#REF!</v>
      </c>
      <c r="CS68" t="e">
        <f>AND(#REF!,"AAAAAHjfj2A=")</f>
        <v>#REF!</v>
      </c>
      <c r="CT68" t="e">
        <f>AND(#REF!,"AAAAAHjfj2E=")</f>
        <v>#REF!</v>
      </c>
      <c r="CU68" t="e">
        <f>AND(#REF!,"AAAAAHjfj2I=")</f>
        <v>#REF!</v>
      </c>
      <c r="CV68" t="e">
        <f>AND(#REF!,"AAAAAHjfj2M=")</f>
        <v>#REF!</v>
      </c>
      <c r="CW68" t="e">
        <f>AND(#REF!,"AAAAAHjfj2Q=")</f>
        <v>#REF!</v>
      </c>
      <c r="CX68" t="e">
        <f>AND(#REF!,"AAAAAHjfj2U=")</f>
        <v>#REF!</v>
      </c>
      <c r="CY68" t="e">
        <f>AND(#REF!,"AAAAAHjfj2Y=")</f>
        <v>#REF!</v>
      </c>
      <c r="CZ68" t="e">
        <f>AND(#REF!,"AAAAAHjfj2c=")</f>
        <v>#REF!</v>
      </c>
      <c r="DA68" t="e">
        <f>AND(#REF!,"AAAAAHjfj2g=")</f>
        <v>#REF!</v>
      </c>
      <c r="DB68" t="e">
        <f>AND(#REF!,"AAAAAHjfj2k=")</f>
        <v>#REF!</v>
      </c>
      <c r="DC68" t="e">
        <f>AND(#REF!,"AAAAAHjfj2o=")</f>
        <v>#REF!</v>
      </c>
      <c r="DD68" t="e">
        <f>AND(#REF!,"AAAAAHjfj2s=")</f>
        <v>#REF!</v>
      </c>
      <c r="DE68" t="e">
        <f>AND(#REF!,"AAAAAHjfj2w=")</f>
        <v>#REF!</v>
      </c>
      <c r="DF68" t="e">
        <f>AND(#REF!,"AAAAAHjfj20=")</f>
        <v>#REF!</v>
      </c>
      <c r="DG68" t="e">
        <f>AND(#REF!,"AAAAAHjfj24=")</f>
        <v>#REF!</v>
      </c>
      <c r="DH68" t="e">
        <f>AND(#REF!,"AAAAAHjfj28=")</f>
        <v>#REF!</v>
      </c>
      <c r="DI68" t="e">
        <f>AND(#REF!,"AAAAAHjfj3A=")</f>
        <v>#REF!</v>
      </c>
      <c r="DJ68" t="e">
        <f>AND(#REF!,"AAAAAHjfj3E=")</f>
        <v>#REF!</v>
      </c>
      <c r="DK68" t="e">
        <f>AND(#REF!,"AAAAAHjfj3I=")</f>
        <v>#REF!</v>
      </c>
      <c r="DL68" t="e">
        <f>AND(#REF!,"AAAAAHjfj3M=")</f>
        <v>#REF!</v>
      </c>
      <c r="DM68" t="e">
        <f>IF(#REF!,"AAAAAHjfj3Q=",0)</f>
        <v>#REF!</v>
      </c>
      <c r="DN68" t="e">
        <f>AND(#REF!,"AAAAAHjfj3U=")</f>
        <v>#REF!</v>
      </c>
      <c r="DO68" t="e">
        <f>AND(#REF!,"AAAAAHjfj3Y=")</f>
        <v>#REF!</v>
      </c>
      <c r="DP68" t="e">
        <f>AND(#REF!,"AAAAAHjfj3c=")</f>
        <v>#REF!</v>
      </c>
      <c r="DQ68" t="e">
        <f>AND(#REF!,"AAAAAHjfj3g=")</f>
        <v>#REF!</v>
      </c>
      <c r="DR68" t="e">
        <f>AND(#REF!,"AAAAAHjfj3k=")</f>
        <v>#REF!</v>
      </c>
      <c r="DS68" t="e">
        <f>AND(#REF!,"AAAAAHjfj3o=")</f>
        <v>#REF!</v>
      </c>
      <c r="DT68" t="e">
        <f>AND(#REF!,"AAAAAHjfj3s=")</f>
        <v>#REF!</v>
      </c>
      <c r="DU68" t="e">
        <f>AND(#REF!,"AAAAAHjfj3w=")</f>
        <v>#REF!</v>
      </c>
      <c r="DV68" t="e">
        <f>AND(#REF!,"AAAAAHjfj30=")</f>
        <v>#REF!</v>
      </c>
      <c r="DW68" t="e">
        <f>AND(#REF!,"AAAAAHjfj34=")</f>
        <v>#REF!</v>
      </c>
      <c r="DX68" t="e">
        <f>AND(#REF!,"AAAAAHjfj38=")</f>
        <v>#REF!</v>
      </c>
      <c r="DY68" t="e">
        <f>AND(#REF!,"AAAAAHjfj4A=")</f>
        <v>#REF!</v>
      </c>
      <c r="DZ68" t="e">
        <f>AND(#REF!,"AAAAAHjfj4E=")</f>
        <v>#REF!</v>
      </c>
      <c r="EA68" t="e">
        <f>AND(#REF!,"AAAAAHjfj4I=")</f>
        <v>#REF!</v>
      </c>
      <c r="EB68" t="e">
        <f>AND(#REF!,"AAAAAHjfj4M=")</f>
        <v>#REF!</v>
      </c>
      <c r="EC68" t="e">
        <f>AND(#REF!,"AAAAAHjfj4Q=")</f>
        <v>#REF!</v>
      </c>
      <c r="ED68" t="e">
        <f>AND(#REF!,"AAAAAHjfj4U=")</f>
        <v>#REF!</v>
      </c>
      <c r="EE68" t="e">
        <f>AND(#REF!,"AAAAAHjfj4Y=")</f>
        <v>#REF!</v>
      </c>
      <c r="EF68" t="e">
        <f>AND(#REF!,"AAAAAHjfj4c=")</f>
        <v>#REF!</v>
      </c>
      <c r="EG68" t="e">
        <f>AND(#REF!,"AAAAAHjfj4g=")</f>
        <v>#REF!</v>
      </c>
      <c r="EH68" t="e">
        <f>AND(#REF!,"AAAAAHjfj4k=")</f>
        <v>#REF!</v>
      </c>
      <c r="EI68" t="e">
        <f>AND(#REF!,"AAAAAHjfj4o=")</f>
        <v>#REF!</v>
      </c>
      <c r="EJ68" t="e">
        <f>AND(#REF!,"AAAAAHjfj4s=")</f>
        <v>#REF!</v>
      </c>
      <c r="EK68" t="e">
        <f>AND(#REF!,"AAAAAHjfj4w=")</f>
        <v>#REF!</v>
      </c>
      <c r="EL68" t="e">
        <f>AND(#REF!,"AAAAAHjfj40=")</f>
        <v>#REF!</v>
      </c>
      <c r="EM68" t="e">
        <f>AND(#REF!,"AAAAAHjfj44=")</f>
        <v>#REF!</v>
      </c>
      <c r="EN68" t="e">
        <f>IF(#REF!,"AAAAAHjfj48=",0)</f>
        <v>#REF!</v>
      </c>
      <c r="EO68" t="e">
        <f>AND(#REF!,"AAAAAHjfj5A=")</f>
        <v>#REF!</v>
      </c>
      <c r="EP68" t="e">
        <f>AND(#REF!,"AAAAAHjfj5E=")</f>
        <v>#REF!</v>
      </c>
      <c r="EQ68" t="e">
        <f>AND(#REF!,"AAAAAHjfj5I=")</f>
        <v>#REF!</v>
      </c>
      <c r="ER68" t="e">
        <f>AND(#REF!,"AAAAAHjfj5M=")</f>
        <v>#REF!</v>
      </c>
      <c r="ES68" t="e">
        <f>AND(#REF!,"AAAAAHjfj5Q=")</f>
        <v>#REF!</v>
      </c>
      <c r="ET68" t="e">
        <f>AND(#REF!,"AAAAAHjfj5U=")</f>
        <v>#REF!</v>
      </c>
      <c r="EU68" t="e">
        <f>AND(#REF!,"AAAAAHjfj5Y=")</f>
        <v>#REF!</v>
      </c>
      <c r="EV68" t="e">
        <f>AND(#REF!,"AAAAAHjfj5c=")</f>
        <v>#REF!</v>
      </c>
      <c r="EW68" t="e">
        <f>AND(#REF!,"AAAAAHjfj5g=")</f>
        <v>#REF!</v>
      </c>
      <c r="EX68" t="e">
        <f>AND(#REF!,"AAAAAHjfj5k=")</f>
        <v>#REF!</v>
      </c>
      <c r="EY68" t="e">
        <f>AND(#REF!,"AAAAAHjfj5o=")</f>
        <v>#REF!</v>
      </c>
      <c r="EZ68" t="e">
        <f>AND(#REF!,"AAAAAHjfj5s=")</f>
        <v>#REF!</v>
      </c>
      <c r="FA68" t="e">
        <f>AND(#REF!,"AAAAAHjfj5w=")</f>
        <v>#REF!</v>
      </c>
      <c r="FB68" t="e">
        <f>AND(#REF!,"AAAAAHjfj50=")</f>
        <v>#REF!</v>
      </c>
      <c r="FC68" t="e">
        <f>AND(#REF!,"AAAAAHjfj54=")</f>
        <v>#REF!</v>
      </c>
      <c r="FD68" t="e">
        <f>AND(#REF!,"AAAAAHjfj58=")</f>
        <v>#REF!</v>
      </c>
      <c r="FE68" t="e">
        <f>AND(#REF!,"AAAAAHjfj6A=")</f>
        <v>#REF!</v>
      </c>
      <c r="FF68" t="e">
        <f>AND(#REF!,"AAAAAHjfj6E=")</f>
        <v>#REF!</v>
      </c>
      <c r="FG68" t="e">
        <f>AND(#REF!,"AAAAAHjfj6I=")</f>
        <v>#REF!</v>
      </c>
      <c r="FH68" t="e">
        <f>AND(#REF!,"AAAAAHjfj6M=")</f>
        <v>#REF!</v>
      </c>
      <c r="FI68" t="e">
        <f>AND(#REF!,"AAAAAHjfj6Q=")</f>
        <v>#REF!</v>
      </c>
      <c r="FJ68" t="e">
        <f>AND(#REF!,"AAAAAHjfj6U=")</f>
        <v>#REF!</v>
      </c>
      <c r="FK68" t="e">
        <f>AND(#REF!,"AAAAAHjfj6Y=")</f>
        <v>#REF!</v>
      </c>
      <c r="FL68" t="e">
        <f>AND(#REF!,"AAAAAHjfj6c=")</f>
        <v>#REF!</v>
      </c>
      <c r="FM68" t="e">
        <f>AND(#REF!,"AAAAAHjfj6g=")</f>
        <v>#REF!</v>
      </c>
      <c r="FN68" t="e">
        <f>AND(#REF!,"AAAAAHjfj6k=")</f>
        <v>#REF!</v>
      </c>
      <c r="FO68" t="e">
        <f>IF(#REF!,"AAAAAHjfj6o=",0)</f>
        <v>#REF!</v>
      </c>
      <c r="FP68" t="e">
        <f>AND(#REF!,"AAAAAHjfj6s=")</f>
        <v>#REF!</v>
      </c>
      <c r="FQ68" t="e">
        <f>AND(#REF!,"AAAAAHjfj6w=")</f>
        <v>#REF!</v>
      </c>
      <c r="FR68" t="e">
        <f>AND(#REF!,"AAAAAHjfj60=")</f>
        <v>#REF!</v>
      </c>
      <c r="FS68" t="e">
        <f>AND(#REF!,"AAAAAHjfj64=")</f>
        <v>#REF!</v>
      </c>
      <c r="FT68" t="e">
        <f>AND(#REF!,"AAAAAHjfj68=")</f>
        <v>#REF!</v>
      </c>
      <c r="FU68" t="e">
        <f>AND(#REF!,"AAAAAHjfj7A=")</f>
        <v>#REF!</v>
      </c>
      <c r="FV68" t="e">
        <f>AND(#REF!,"AAAAAHjfj7E=")</f>
        <v>#REF!</v>
      </c>
      <c r="FW68" t="e">
        <f>AND(#REF!,"AAAAAHjfj7I=")</f>
        <v>#REF!</v>
      </c>
      <c r="FX68" t="e">
        <f>AND(#REF!,"AAAAAHjfj7M=")</f>
        <v>#REF!</v>
      </c>
      <c r="FY68" t="e">
        <f>AND(#REF!,"AAAAAHjfj7Q=")</f>
        <v>#REF!</v>
      </c>
      <c r="FZ68" t="e">
        <f>AND(#REF!,"AAAAAHjfj7U=")</f>
        <v>#REF!</v>
      </c>
      <c r="GA68" t="e">
        <f>AND(#REF!,"AAAAAHjfj7Y=")</f>
        <v>#REF!</v>
      </c>
      <c r="GB68" t="e">
        <f>AND(#REF!,"AAAAAHjfj7c=")</f>
        <v>#REF!</v>
      </c>
      <c r="GC68" t="e">
        <f>AND(#REF!,"AAAAAHjfj7g=")</f>
        <v>#REF!</v>
      </c>
      <c r="GD68" t="e">
        <f>AND(#REF!,"AAAAAHjfj7k=")</f>
        <v>#REF!</v>
      </c>
      <c r="GE68" t="e">
        <f>AND(#REF!,"AAAAAHjfj7o=")</f>
        <v>#REF!</v>
      </c>
      <c r="GF68" t="e">
        <f>AND(#REF!,"AAAAAHjfj7s=")</f>
        <v>#REF!</v>
      </c>
      <c r="GG68" t="e">
        <f>AND(#REF!,"AAAAAHjfj7w=")</f>
        <v>#REF!</v>
      </c>
      <c r="GH68" t="e">
        <f>AND(#REF!,"AAAAAHjfj70=")</f>
        <v>#REF!</v>
      </c>
      <c r="GI68" t="e">
        <f>AND(#REF!,"AAAAAHjfj74=")</f>
        <v>#REF!</v>
      </c>
      <c r="GJ68" t="e">
        <f>AND(#REF!,"AAAAAHjfj78=")</f>
        <v>#REF!</v>
      </c>
      <c r="GK68" t="e">
        <f>AND(#REF!,"AAAAAHjfj8A=")</f>
        <v>#REF!</v>
      </c>
      <c r="GL68" t="e">
        <f>AND(#REF!,"AAAAAHjfj8E=")</f>
        <v>#REF!</v>
      </c>
      <c r="GM68" t="e">
        <f>AND(#REF!,"AAAAAHjfj8I=")</f>
        <v>#REF!</v>
      </c>
      <c r="GN68" t="e">
        <f>AND(#REF!,"AAAAAHjfj8M=")</f>
        <v>#REF!</v>
      </c>
      <c r="GO68" t="e">
        <f>AND(#REF!,"AAAAAHjfj8Q=")</f>
        <v>#REF!</v>
      </c>
      <c r="GP68" t="e">
        <f>IF(#REF!,"AAAAAHjfj8U=",0)</f>
        <v>#REF!</v>
      </c>
      <c r="GQ68" t="e">
        <f>AND(#REF!,"AAAAAHjfj8Y=")</f>
        <v>#REF!</v>
      </c>
      <c r="GR68" t="e">
        <f>AND(#REF!,"AAAAAHjfj8c=")</f>
        <v>#REF!</v>
      </c>
      <c r="GS68" t="e">
        <f>AND(#REF!,"AAAAAHjfj8g=")</f>
        <v>#REF!</v>
      </c>
      <c r="GT68" t="e">
        <f>AND(#REF!,"AAAAAHjfj8k=")</f>
        <v>#REF!</v>
      </c>
      <c r="GU68" t="e">
        <f>AND(#REF!,"AAAAAHjfj8o=")</f>
        <v>#REF!</v>
      </c>
      <c r="GV68" t="e">
        <f>AND(#REF!,"AAAAAHjfj8s=")</f>
        <v>#REF!</v>
      </c>
      <c r="GW68" t="e">
        <f>AND(#REF!,"AAAAAHjfj8w=")</f>
        <v>#REF!</v>
      </c>
      <c r="GX68" t="e">
        <f>AND(#REF!,"AAAAAHjfj80=")</f>
        <v>#REF!</v>
      </c>
      <c r="GY68" t="e">
        <f>AND(#REF!,"AAAAAHjfj84=")</f>
        <v>#REF!</v>
      </c>
      <c r="GZ68" t="e">
        <f>AND(#REF!,"AAAAAHjfj88=")</f>
        <v>#REF!</v>
      </c>
      <c r="HA68" t="e">
        <f>AND(#REF!,"AAAAAHjfj9A=")</f>
        <v>#REF!</v>
      </c>
      <c r="HB68" t="e">
        <f>AND(#REF!,"AAAAAHjfj9E=")</f>
        <v>#REF!</v>
      </c>
      <c r="HC68" t="e">
        <f>AND(#REF!,"AAAAAHjfj9I=")</f>
        <v>#REF!</v>
      </c>
      <c r="HD68" t="e">
        <f>AND(#REF!,"AAAAAHjfj9M=")</f>
        <v>#REF!</v>
      </c>
      <c r="HE68" t="e">
        <f>AND(#REF!,"AAAAAHjfj9Q=")</f>
        <v>#REF!</v>
      </c>
      <c r="HF68" t="e">
        <f>AND(#REF!,"AAAAAHjfj9U=")</f>
        <v>#REF!</v>
      </c>
      <c r="HG68" t="e">
        <f>AND(#REF!,"AAAAAHjfj9Y=")</f>
        <v>#REF!</v>
      </c>
      <c r="HH68" t="e">
        <f>AND(#REF!,"AAAAAHjfj9c=")</f>
        <v>#REF!</v>
      </c>
      <c r="HI68" t="e">
        <f>AND(#REF!,"AAAAAHjfj9g=")</f>
        <v>#REF!</v>
      </c>
      <c r="HJ68" t="e">
        <f>AND(#REF!,"AAAAAHjfj9k=")</f>
        <v>#REF!</v>
      </c>
      <c r="HK68" t="e">
        <f>AND(#REF!,"AAAAAHjfj9o=")</f>
        <v>#REF!</v>
      </c>
      <c r="HL68" t="e">
        <f>AND(#REF!,"AAAAAHjfj9s=")</f>
        <v>#REF!</v>
      </c>
      <c r="HM68" t="e">
        <f>AND(#REF!,"AAAAAHjfj9w=")</f>
        <v>#REF!</v>
      </c>
      <c r="HN68" t="e">
        <f>AND(#REF!,"AAAAAHjfj90=")</f>
        <v>#REF!</v>
      </c>
      <c r="HO68" t="e">
        <f>AND(#REF!,"AAAAAHjfj94=")</f>
        <v>#REF!</v>
      </c>
      <c r="HP68" t="e">
        <f>AND(#REF!,"AAAAAHjfj98=")</f>
        <v>#REF!</v>
      </c>
      <c r="HQ68" t="e">
        <f>IF(#REF!,"AAAAAHjfj+A=",0)</f>
        <v>#REF!</v>
      </c>
      <c r="HR68" t="e">
        <f>AND(#REF!,"AAAAAHjfj+E=")</f>
        <v>#REF!</v>
      </c>
      <c r="HS68" t="e">
        <f>AND(#REF!,"AAAAAHjfj+I=")</f>
        <v>#REF!</v>
      </c>
      <c r="HT68" t="e">
        <f>AND(#REF!,"AAAAAHjfj+M=")</f>
        <v>#REF!</v>
      </c>
      <c r="HU68" t="e">
        <f>AND(#REF!,"AAAAAHjfj+Q=")</f>
        <v>#REF!</v>
      </c>
      <c r="HV68" t="e">
        <f>AND(#REF!,"AAAAAHjfj+U=")</f>
        <v>#REF!</v>
      </c>
      <c r="HW68" t="e">
        <f>AND(#REF!,"AAAAAHjfj+Y=")</f>
        <v>#REF!</v>
      </c>
      <c r="HX68" t="e">
        <f>AND(#REF!,"AAAAAHjfj+c=")</f>
        <v>#REF!</v>
      </c>
      <c r="HY68" t="e">
        <f>AND(#REF!,"AAAAAHjfj+g=")</f>
        <v>#REF!</v>
      </c>
      <c r="HZ68" t="e">
        <f>AND(#REF!,"AAAAAHjfj+k=")</f>
        <v>#REF!</v>
      </c>
      <c r="IA68" t="e">
        <f>AND(#REF!,"AAAAAHjfj+o=")</f>
        <v>#REF!</v>
      </c>
      <c r="IB68" t="e">
        <f>AND(#REF!,"AAAAAHjfj+s=")</f>
        <v>#REF!</v>
      </c>
      <c r="IC68" t="e">
        <f>AND(#REF!,"AAAAAHjfj+w=")</f>
        <v>#REF!</v>
      </c>
      <c r="ID68" t="e">
        <f>AND(#REF!,"AAAAAHjfj+0=")</f>
        <v>#REF!</v>
      </c>
      <c r="IE68" t="e">
        <f>AND(#REF!,"AAAAAHjfj+4=")</f>
        <v>#REF!</v>
      </c>
      <c r="IF68" t="e">
        <f>AND(#REF!,"AAAAAHjfj+8=")</f>
        <v>#REF!</v>
      </c>
      <c r="IG68" t="e">
        <f>AND(#REF!,"AAAAAHjfj/A=")</f>
        <v>#REF!</v>
      </c>
      <c r="IH68" t="e">
        <f>AND(#REF!,"AAAAAHjfj/E=")</f>
        <v>#REF!</v>
      </c>
      <c r="II68" t="e">
        <f>AND(#REF!,"AAAAAHjfj/I=")</f>
        <v>#REF!</v>
      </c>
      <c r="IJ68" t="e">
        <f>AND(#REF!,"AAAAAHjfj/M=")</f>
        <v>#REF!</v>
      </c>
      <c r="IK68" t="e">
        <f>AND(#REF!,"AAAAAHjfj/Q=")</f>
        <v>#REF!</v>
      </c>
      <c r="IL68" t="e">
        <f>AND(#REF!,"AAAAAHjfj/U=")</f>
        <v>#REF!</v>
      </c>
      <c r="IM68" t="e">
        <f>AND(#REF!,"AAAAAHjfj/Y=")</f>
        <v>#REF!</v>
      </c>
      <c r="IN68" t="e">
        <f>AND(#REF!,"AAAAAHjfj/c=")</f>
        <v>#REF!</v>
      </c>
      <c r="IO68" t="e">
        <f>AND(#REF!,"AAAAAHjfj/g=")</f>
        <v>#REF!</v>
      </c>
      <c r="IP68" t="e">
        <f>AND(#REF!,"AAAAAHjfj/k=")</f>
        <v>#REF!</v>
      </c>
      <c r="IQ68" t="e">
        <f>AND(#REF!,"AAAAAHjfj/o=")</f>
        <v>#REF!</v>
      </c>
      <c r="IR68" t="e">
        <f>IF(#REF!,"AAAAAHjfj/s=",0)</f>
        <v>#REF!</v>
      </c>
      <c r="IS68" t="e">
        <f>AND(#REF!,"AAAAAHjfj/w=")</f>
        <v>#REF!</v>
      </c>
      <c r="IT68" t="e">
        <f>AND(#REF!,"AAAAAHjfj/0=")</f>
        <v>#REF!</v>
      </c>
      <c r="IU68" t="e">
        <f>AND(#REF!,"AAAAAHjfj/4=")</f>
        <v>#REF!</v>
      </c>
      <c r="IV68" t="e">
        <f>AND(#REF!,"AAAAAHjfj/8=")</f>
        <v>#REF!</v>
      </c>
    </row>
    <row r="69" spans="1:256" x14ac:dyDescent="0.2">
      <c r="A69" t="e">
        <f>AND(#REF!,"AAAAAG8d3QA=")</f>
        <v>#REF!</v>
      </c>
      <c r="B69" t="e">
        <f>AND(#REF!,"AAAAAG8d3QE=")</f>
        <v>#REF!</v>
      </c>
      <c r="C69" t="e">
        <f>AND(#REF!,"AAAAAG8d3QI=")</f>
        <v>#REF!</v>
      </c>
      <c r="D69" t="e">
        <f>AND(#REF!,"AAAAAG8d3QM=")</f>
        <v>#REF!</v>
      </c>
      <c r="E69" t="e">
        <f>AND(#REF!,"AAAAAG8d3QQ=")</f>
        <v>#REF!</v>
      </c>
      <c r="F69" t="e">
        <f>AND(#REF!,"AAAAAG8d3QU=")</f>
        <v>#REF!</v>
      </c>
      <c r="G69" t="e">
        <f>AND(#REF!,"AAAAAG8d3QY=")</f>
        <v>#REF!</v>
      </c>
      <c r="H69" t="e">
        <f>AND(#REF!,"AAAAAG8d3Qc=")</f>
        <v>#REF!</v>
      </c>
      <c r="I69" t="e">
        <f>AND(#REF!,"AAAAAG8d3Qg=")</f>
        <v>#REF!</v>
      </c>
      <c r="J69" t="e">
        <f>AND(#REF!,"AAAAAG8d3Qk=")</f>
        <v>#REF!</v>
      </c>
      <c r="K69" t="e">
        <f>AND(#REF!,"AAAAAG8d3Qo=")</f>
        <v>#REF!</v>
      </c>
      <c r="L69" t="e">
        <f>AND(#REF!,"AAAAAG8d3Qs=")</f>
        <v>#REF!</v>
      </c>
      <c r="M69" t="e">
        <f>AND(#REF!,"AAAAAG8d3Qw=")</f>
        <v>#REF!</v>
      </c>
      <c r="N69" t="e">
        <f>AND(#REF!,"AAAAAG8d3Q0=")</f>
        <v>#REF!</v>
      </c>
      <c r="O69" t="e">
        <f>AND(#REF!,"AAAAAG8d3Q4=")</f>
        <v>#REF!</v>
      </c>
      <c r="P69" t="e">
        <f>AND(#REF!,"AAAAAG8d3Q8=")</f>
        <v>#REF!</v>
      </c>
      <c r="Q69" t="e">
        <f>AND(#REF!,"AAAAAG8d3RA=")</f>
        <v>#REF!</v>
      </c>
      <c r="R69" t="e">
        <f>AND(#REF!,"AAAAAG8d3RE=")</f>
        <v>#REF!</v>
      </c>
      <c r="S69" t="e">
        <f>AND(#REF!,"AAAAAG8d3RI=")</f>
        <v>#REF!</v>
      </c>
      <c r="T69" t="e">
        <f>AND(#REF!,"AAAAAG8d3RM=")</f>
        <v>#REF!</v>
      </c>
      <c r="U69" t="e">
        <f>AND(#REF!,"AAAAAG8d3RQ=")</f>
        <v>#REF!</v>
      </c>
      <c r="V69" t="e">
        <f>AND(#REF!,"AAAAAG8d3RU=")</f>
        <v>#REF!</v>
      </c>
      <c r="W69" t="e">
        <f>IF(#REF!,"AAAAAG8d3RY=",0)</f>
        <v>#REF!</v>
      </c>
      <c r="X69" t="e">
        <f>AND(#REF!,"AAAAAG8d3Rc=")</f>
        <v>#REF!</v>
      </c>
      <c r="Y69" t="e">
        <f>AND(#REF!,"AAAAAG8d3Rg=")</f>
        <v>#REF!</v>
      </c>
      <c r="Z69" t="e">
        <f>AND(#REF!,"AAAAAG8d3Rk=")</f>
        <v>#REF!</v>
      </c>
      <c r="AA69" t="e">
        <f>AND(#REF!,"AAAAAG8d3Ro=")</f>
        <v>#REF!</v>
      </c>
      <c r="AB69" t="e">
        <f>AND(#REF!,"AAAAAG8d3Rs=")</f>
        <v>#REF!</v>
      </c>
      <c r="AC69" t="e">
        <f>AND(#REF!,"AAAAAG8d3Rw=")</f>
        <v>#REF!</v>
      </c>
      <c r="AD69" t="e">
        <f>AND(#REF!,"AAAAAG8d3R0=")</f>
        <v>#REF!</v>
      </c>
      <c r="AE69" t="e">
        <f>AND(#REF!,"AAAAAG8d3R4=")</f>
        <v>#REF!</v>
      </c>
      <c r="AF69" t="e">
        <f>AND(#REF!,"AAAAAG8d3R8=")</f>
        <v>#REF!</v>
      </c>
      <c r="AG69" t="e">
        <f>AND(#REF!,"AAAAAG8d3SA=")</f>
        <v>#REF!</v>
      </c>
      <c r="AH69" t="e">
        <f>AND(#REF!,"AAAAAG8d3SE=")</f>
        <v>#REF!</v>
      </c>
      <c r="AI69" t="e">
        <f>AND(#REF!,"AAAAAG8d3SI=")</f>
        <v>#REF!</v>
      </c>
      <c r="AJ69" t="e">
        <f>AND(#REF!,"AAAAAG8d3SM=")</f>
        <v>#REF!</v>
      </c>
      <c r="AK69" t="e">
        <f>AND(#REF!,"AAAAAG8d3SQ=")</f>
        <v>#REF!</v>
      </c>
      <c r="AL69" t="e">
        <f>AND(#REF!,"AAAAAG8d3SU=")</f>
        <v>#REF!</v>
      </c>
      <c r="AM69" t="e">
        <f>AND(#REF!,"AAAAAG8d3SY=")</f>
        <v>#REF!</v>
      </c>
      <c r="AN69" t="e">
        <f>AND(#REF!,"AAAAAG8d3Sc=")</f>
        <v>#REF!</v>
      </c>
      <c r="AO69" t="e">
        <f>AND(#REF!,"AAAAAG8d3Sg=")</f>
        <v>#REF!</v>
      </c>
      <c r="AP69" t="e">
        <f>AND(#REF!,"AAAAAG8d3Sk=")</f>
        <v>#REF!</v>
      </c>
      <c r="AQ69" t="e">
        <f>AND(#REF!,"AAAAAG8d3So=")</f>
        <v>#REF!</v>
      </c>
      <c r="AR69" t="e">
        <f>AND(#REF!,"AAAAAG8d3Ss=")</f>
        <v>#REF!</v>
      </c>
      <c r="AS69" t="e">
        <f>AND(#REF!,"AAAAAG8d3Sw=")</f>
        <v>#REF!</v>
      </c>
      <c r="AT69" t="e">
        <f>AND(#REF!,"AAAAAG8d3S0=")</f>
        <v>#REF!</v>
      </c>
      <c r="AU69" t="e">
        <f>AND(#REF!,"AAAAAG8d3S4=")</f>
        <v>#REF!</v>
      </c>
      <c r="AV69" t="e">
        <f>AND(#REF!,"AAAAAG8d3S8=")</f>
        <v>#REF!</v>
      </c>
      <c r="AW69" t="e">
        <f>AND(#REF!,"AAAAAG8d3TA=")</f>
        <v>#REF!</v>
      </c>
      <c r="AX69" t="e">
        <f>IF(#REF!,"AAAAAG8d3TE=",0)</f>
        <v>#REF!</v>
      </c>
      <c r="AY69" t="e">
        <f>AND(#REF!,"AAAAAG8d3TI=")</f>
        <v>#REF!</v>
      </c>
      <c r="AZ69" t="e">
        <f>AND(#REF!,"AAAAAG8d3TM=")</f>
        <v>#REF!</v>
      </c>
      <c r="BA69" t="e">
        <f>AND(#REF!,"AAAAAG8d3TQ=")</f>
        <v>#REF!</v>
      </c>
      <c r="BB69" t="e">
        <f>AND(#REF!,"AAAAAG8d3TU=")</f>
        <v>#REF!</v>
      </c>
      <c r="BC69" t="e">
        <f>AND(#REF!,"AAAAAG8d3TY=")</f>
        <v>#REF!</v>
      </c>
      <c r="BD69" t="e">
        <f>AND(#REF!,"AAAAAG8d3Tc=")</f>
        <v>#REF!</v>
      </c>
      <c r="BE69" t="e">
        <f>AND(#REF!,"AAAAAG8d3Tg=")</f>
        <v>#REF!</v>
      </c>
      <c r="BF69" t="e">
        <f>AND(#REF!,"AAAAAG8d3Tk=")</f>
        <v>#REF!</v>
      </c>
      <c r="BG69" t="e">
        <f>AND(#REF!,"AAAAAG8d3To=")</f>
        <v>#REF!</v>
      </c>
      <c r="BH69" t="e">
        <f>AND(#REF!,"AAAAAG8d3Ts=")</f>
        <v>#REF!</v>
      </c>
      <c r="BI69" t="e">
        <f>AND(#REF!,"AAAAAG8d3Tw=")</f>
        <v>#REF!</v>
      </c>
      <c r="BJ69" t="e">
        <f>AND(#REF!,"AAAAAG8d3T0=")</f>
        <v>#REF!</v>
      </c>
      <c r="BK69" t="e">
        <f>AND(#REF!,"AAAAAG8d3T4=")</f>
        <v>#REF!</v>
      </c>
      <c r="BL69" t="e">
        <f>AND(#REF!,"AAAAAG8d3T8=")</f>
        <v>#REF!</v>
      </c>
      <c r="BM69" t="e">
        <f>AND(#REF!,"AAAAAG8d3UA=")</f>
        <v>#REF!</v>
      </c>
      <c r="BN69" t="e">
        <f>AND(#REF!,"AAAAAG8d3UE=")</f>
        <v>#REF!</v>
      </c>
      <c r="BO69" t="e">
        <f>AND(#REF!,"AAAAAG8d3UI=")</f>
        <v>#REF!</v>
      </c>
      <c r="BP69" t="e">
        <f>AND(#REF!,"AAAAAG8d3UM=")</f>
        <v>#REF!</v>
      </c>
      <c r="BQ69" t="e">
        <f>AND(#REF!,"AAAAAG8d3UQ=")</f>
        <v>#REF!</v>
      </c>
      <c r="BR69" t="e">
        <f>AND(#REF!,"AAAAAG8d3UU=")</f>
        <v>#REF!</v>
      </c>
      <c r="BS69" t="e">
        <f>AND(#REF!,"AAAAAG8d3UY=")</f>
        <v>#REF!</v>
      </c>
      <c r="BT69" t="e">
        <f>AND(#REF!,"AAAAAG8d3Uc=")</f>
        <v>#REF!</v>
      </c>
      <c r="BU69" t="e">
        <f>AND(#REF!,"AAAAAG8d3Ug=")</f>
        <v>#REF!</v>
      </c>
      <c r="BV69" t="e">
        <f>AND(#REF!,"AAAAAG8d3Uk=")</f>
        <v>#REF!</v>
      </c>
      <c r="BW69" t="e">
        <f>AND(#REF!,"AAAAAG8d3Uo=")</f>
        <v>#REF!</v>
      </c>
      <c r="BX69" t="e">
        <f>AND(#REF!,"AAAAAG8d3Us=")</f>
        <v>#REF!</v>
      </c>
      <c r="BY69" t="e">
        <f>IF(#REF!,"AAAAAG8d3Uw=",0)</f>
        <v>#REF!</v>
      </c>
      <c r="BZ69" t="e">
        <f>AND(#REF!,"AAAAAG8d3U0=")</f>
        <v>#REF!</v>
      </c>
      <c r="CA69" t="e">
        <f>AND(#REF!,"AAAAAG8d3U4=")</f>
        <v>#REF!</v>
      </c>
      <c r="CB69" t="e">
        <f>AND(#REF!,"AAAAAG8d3U8=")</f>
        <v>#REF!</v>
      </c>
      <c r="CC69" t="e">
        <f>AND(#REF!,"AAAAAG8d3VA=")</f>
        <v>#REF!</v>
      </c>
      <c r="CD69" t="e">
        <f>AND(#REF!,"AAAAAG8d3VE=")</f>
        <v>#REF!</v>
      </c>
      <c r="CE69" t="e">
        <f>AND(#REF!,"AAAAAG8d3VI=")</f>
        <v>#REF!</v>
      </c>
      <c r="CF69" t="e">
        <f>AND(#REF!,"AAAAAG8d3VM=")</f>
        <v>#REF!</v>
      </c>
      <c r="CG69" t="e">
        <f>AND(#REF!,"AAAAAG8d3VQ=")</f>
        <v>#REF!</v>
      </c>
      <c r="CH69" t="e">
        <f>AND(#REF!,"AAAAAG8d3VU=")</f>
        <v>#REF!</v>
      </c>
      <c r="CI69" t="e">
        <f>AND(#REF!,"AAAAAG8d3VY=")</f>
        <v>#REF!</v>
      </c>
      <c r="CJ69" t="e">
        <f>AND(#REF!,"AAAAAG8d3Vc=")</f>
        <v>#REF!</v>
      </c>
      <c r="CK69" t="e">
        <f>AND(#REF!,"AAAAAG8d3Vg=")</f>
        <v>#REF!</v>
      </c>
      <c r="CL69" t="e">
        <f>AND(#REF!,"AAAAAG8d3Vk=")</f>
        <v>#REF!</v>
      </c>
      <c r="CM69" t="e">
        <f>AND(#REF!,"AAAAAG8d3Vo=")</f>
        <v>#REF!</v>
      </c>
      <c r="CN69" t="e">
        <f>AND(#REF!,"AAAAAG8d3Vs=")</f>
        <v>#REF!</v>
      </c>
      <c r="CO69" t="e">
        <f>AND(#REF!,"AAAAAG8d3Vw=")</f>
        <v>#REF!</v>
      </c>
      <c r="CP69" t="e">
        <f>AND(#REF!,"AAAAAG8d3V0=")</f>
        <v>#REF!</v>
      </c>
      <c r="CQ69" t="e">
        <f>AND(#REF!,"AAAAAG8d3V4=")</f>
        <v>#REF!</v>
      </c>
      <c r="CR69" t="e">
        <f>AND(#REF!,"AAAAAG8d3V8=")</f>
        <v>#REF!</v>
      </c>
      <c r="CS69" t="e">
        <f>AND(#REF!,"AAAAAG8d3WA=")</f>
        <v>#REF!</v>
      </c>
      <c r="CT69" t="e">
        <f>AND(#REF!,"AAAAAG8d3WE=")</f>
        <v>#REF!</v>
      </c>
      <c r="CU69" t="e">
        <f>AND(#REF!,"AAAAAG8d3WI=")</f>
        <v>#REF!</v>
      </c>
      <c r="CV69" t="e">
        <f>AND(#REF!,"AAAAAG8d3WM=")</f>
        <v>#REF!</v>
      </c>
      <c r="CW69" t="e">
        <f>AND(#REF!,"AAAAAG8d3WQ=")</f>
        <v>#REF!</v>
      </c>
      <c r="CX69" t="e">
        <f>AND(#REF!,"AAAAAG8d3WU=")</f>
        <v>#REF!</v>
      </c>
      <c r="CY69" t="e">
        <f>AND(#REF!,"AAAAAG8d3WY=")</f>
        <v>#REF!</v>
      </c>
      <c r="CZ69" t="e">
        <f>IF(#REF!,"AAAAAG8d3Wc=",0)</f>
        <v>#REF!</v>
      </c>
      <c r="DA69" t="e">
        <f>AND(#REF!,"AAAAAG8d3Wg=")</f>
        <v>#REF!</v>
      </c>
      <c r="DB69" t="e">
        <f>AND(#REF!,"AAAAAG8d3Wk=")</f>
        <v>#REF!</v>
      </c>
      <c r="DC69" t="e">
        <f>AND(#REF!,"AAAAAG8d3Wo=")</f>
        <v>#REF!</v>
      </c>
      <c r="DD69" t="e">
        <f>AND(#REF!,"AAAAAG8d3Ws=")</f>
        <v>#REF!</v>
      </c>
      <c r="DE69" t="e">
        <f>AND(#REF!,"AAAAAG8d3Ww=")</f>
        <v>#REF!</v>
      </c>
      <c r="DF69" t="e">
        <f>AND(#REF!,"AAAAAG8d3W0=")</f>
        <v>#REF!</v>
      </c>
      <c r="DG69" t="e">
        <f>AND(#REF!,"AAAAAG8d3W4=")</f>
        <v>#REF!</v>
      </c>
      <c r="DH69" t="e">
        <f>AND(#REF!,"AAAAAG8d3W8=")</f>
        <v>#REF!</v>
      </c>
      <c r="DI69" t="e">
        <f>AND(#REF!,"AAAAAG8d3XA=")</f>
        <v>#REF!</v>
      </c>
      <c r="DJ69" t="e">
        <f>AND(#REF!,"AAAAAG8d3XE=")</f>
        <v>#REF!</v>
      </c>
      <c r="DK69" t="e">
        <f>AND(#REF!,"AAAAAG8d3XI=")</f>
        <v>#REF!</v>
      </c>
      <c r="DL69" t="e">
        <f>AND(#REF!,"AAAAAG8d3XM=")</f>
        <v>#REF!</v>
      </c>
      <c r="DM69" t="e">
        <f>AND(#REF!,"AAAAAG8d3XQ=")</f>
        <v>#REF!</v>
      </c>
      <c r="DN69" t="e">
        <f>AND(#REF!,"AAAAAG8d3XU=")</f>
        <v>#REF!</v>
      </c>
      <c r="DO69" t="e">
        <f>AND(#REF!,"AAAAAG8d3XY=")</f>
        <v>#REF!</v>
      </c>
      <c r="DP69" t="e">
        <f>AND(#REF!,"AAAAAG8d3Xc=")</f>
        <v>#REF!</v>
      </c>
      <c r="DQ69" t="e">
        <f>AND(#REF!,"AAAAAG8d3Xg=")</f>
        <v>#REF!</v>
      </c>
      <c r="DR69" t="e">
        <f>AND(#REF!,"AAAAAG8d3Xk=")</f>
        <v>#REF!</v>
      </c>
      <c r="DS69" t="e">
        <f>AND(#REF!,"AAAAAG8d3Xo=")</f>
        <v>#REF!</v>
      </c>
      <c r="DT69" t="e">
        <f>AND(#REF!,"AAAAAG8d3Xs=")</f>
        <v>#REF!</v>
      </c>
      <c r="DU69" t="e">
        <f>AND(#REF!,"AAAAAG8d3Xw=")</f>
        <v>#REF!</v>
      </c>
      <c r="DV69" t="e">
        <f>AND(#REF!,"AAAAAG8d3X0=")</f>
        <v>#REF!</v>
      </c>
      <c r="DW69" t="e">
        <f>AND(#REF!,"AAAAAG8d3X4=")</f>
        <v>#REF!</v>
      </c>
      <c r="DX69" t="e">
        <f>AND(#REF!,"AAAAAG8d3X8=")</f>
        <v>#REF!</v>
      </c>
      <c r="DY69" t="e">
        <f>AND(#REF!,"AAAAAG8d3YA=")</f>
        <v>#REF!</v>
      </c>
      <c r="DZ69" t="e">
        <f>AND(#REF!,"AAAAAG8d3YE=")</f>
        <v>#REF!</v>
      </c>
      <c r="EA69" t="e">
        <f>IF(#REF!,"AAAAAG8d3YI=",0)</f>
        <v>#REF!</v>
      </c>
      <c r="EB69" t="e">
        <f>AND(#REF!,"AAAAAG8d3YM=")</f>
        <v>#REF!</v>
      </c>
      <c r="EC69" t="e">
        <f>AND(#REF!,"AAAAAG8d3YQ=")</f>
        <v>#REF!</v>
      </c>
      <c r="ED69" t="e">
        <f>AND(#REF!,"AAAAAG8d3YU=")</f>
        <v>#REF!</v>
      </c>
      <c r="EE69" t="e">
        <f>AND(#REF!,"AAAAAG8d3YY=")</f>
        <v>#REF!</v>
      </c>
      <c r="EF69" t="e">
        <f>AND(#REF!,"AAAAAG8d3Yc=")</f>
        <v>#REF!</v>
      </c>
      <c r="EG69" t="e">
        <f>AND(#REF!,"AAAAAG8d3Yg=")</f>
        <v>#REF!</v>
      </c>
      <c r="EH69" t="e">
        <f>AND(#REF!,"AAAAAG8d3Yk=")</f>
        <v>#REF!</v>
      </c>
      <c r="EI69" t="e">
        <f>AND(#REF!,"AAAAAG8d3Yo=")</f>
        <v>#REF!</v>
      </c>
      <c r="EJ69" t="e">
        <f>AND(#REF!,"AAAAAG8d3Ys=")</f>
        <v>#REF!</v>
      </c>
      <c r="EK69" t="e">
        <f>AND(#REF!,"AAAAAG8d3Yw=")</f>
        <v>#REF!</v>
      </c>
      <c r="EL69" t="e">
        <f>AND(#REF!,"AAAAAG8d3Y0=")</f>
        <v>#REF!</v>
      </c>
      <c r="EM69" t="e">
        <f>AND(#REF!,"AAAAAG8d3Y4=")</f>
        <v>#REF!</v>
      </c>
      <c r="EN69" t="e">
        <f>AND(#REF!,"AAAAAG8d3Y8=")</f>
        <v>#REF!</v>
      </c>
      <c r="EO69" t="e">
        <f>AND(#REF!,"AAAAAG8d3ZA=")</f>
        <v>#REF!</v>
      </c>
      <c r="EP69" t="e">
        <f>AND(#REF!,"AAAAAG8d3ZE=")</f>
        <v>#REF!</v>
      </c>
      <c r="EQ69" t="e">
        <f>AND(#REF!,"AAAAAG8d3ZI=")</f>
        <v>#REF!</v>
      </c>
      <c r="ER69" t="e">
        <f>AND(#REF!,"AAAAAG8d3ZM=")</f>
        <v>#REF!</v>
      </c>
      <c r="ES69" t="e">
        <f>AND(#REF!,"AAAAAG8d3ZQ=")</f>
        <v>#REF!</v>
      </c>
      <c r="ET69" t="e">
        <f>AND(#REF!,"AAAAAG8d3ZU=")</f>
        <v>#REF!</v>
      </c>
      <c r="EU69" t="e">
        <f>AND(#REF!,"AAAAAG8d3ZY=")</f>
        <v>#REF!</v>
      </c>
      <c r="EV69" t="e">
        <f>AND(#REF!,"AAAAAG8d3Zc=")</f>
        <v>#REF!</v>
      </c>
      <c r="EW69" t="e">
        <f>AND(#REF!,"AAAAAG8d3Zg=")</f>
        <v>#REF!</v>
      </c>
      <c r="EX69" t="e">
        <f>AND(#REF!,"AAAAAG8d3Zk=")</f>
        <v>#REF!</v>
      </c>
      <c r="EY69" t="e">
        <f>AND(#REF!,"AAAAAG8d3Zo=")</f>
        <v>#REF!</v>
      </c>
      <c r="EZ69" t="e">
        <f>AND(#REF!,"AAAAAG8d3Zs=")</f>
        <v>#REF!</v>
      </c>
      <c r="FA69" t="e">
        <f>AND(#REF!,"AAAAAG8d3Zw=")</f>
        <v>#REF!</v>
      </c>
      <c r="FB69" t="e">
        <f>IF(#REF!,"AAAAAG8d3Z0=",0)</f>
        <v>#REF!</v>
      </c>
      <c r="FC69" t="e">
        <f>AND(#REF!,"AAAAAG8d3Z4=")</f>
        <v>#REF!</v>
      </c>
      <c r="FD69" t="e">
        <f>AND(#REF!,"AAAAAG8d3Z8=")</f>
        <v>#REF!</v>
      </c>
      <c r="FE69" t="e">
        <f>AND(#REF!,"AAAAAG8d3aA=")</f>
        <v>#REF!</v>
      </c>
      <c r="FF69" t="e">
        <f>AND(#REF!,"AAAAAG8d3aE=")</f>
        <v>#REF!</v>
      </c>
      <c r="FG69" t="e">
        <f>AND(#REF!,"AAAAAG8d3aI=")</f>
        <v>#REF!</v>
      </c>
      <c r="FH69" t="e">
        <f>AND(#REF!,"AAAAAG8d3aM=")</f>
        <v>#REF!</v>
      </c>
      <c r="FI69" t="e">
        <f>AND(#REF!,"AAAAAG8d3aQ=")</f>
        <v>#REF!</v>
      </c>
      <c r="FJ69" t="e">
        <f>AND(#REF!,"AAAAAG8d3aU=")</f>
        <v>#REF!</v>
      </c>
      <c r="FK69" t="e">
        <f>AND(#REF!,"AAAAAG8d3aY=")</f>
        <v>#REF!</v>
      </c>
      <c r="FL69" t="e">
        <f>AND(#REF!,"AAAAAG8d3ac=")</f>
        <v>#REF!</v>
      </c>
      <c r="FM69" t="e">
        <f>AND(#REF!,"AAAAAG8d3ag=")</f>
        <v>#REF!</v>
      </c>
      <c r="FN69" t="e">
        <f>AND(#REF!,"AAAAAG8d3ak=")</f>
        <v>#REF!</v>
      </c>
      <c r="FO69" t="e">
        <f>AND(#REF!,"AAAAAG8d3ao=")</f>
        <v>#REF!</v>
      </c>
      <c r="FP69" t="e">
        <f>AND(#REF!,"AAAAAG8d3as=")</f>
        <v>#REF!</v>
      </c>
      <c r="FQ69" t="e">
        <f>AND(#REF!,"AAAAAG8d3aw=")</f>
        <v>#REF!</v>
      </c>
      <c r="FR69" t="e">
        <f>AND(#REF!,"AAAAAG8d3a0=")</f>
        <v>#REF!</v>
      </c>
      <c r="FS69" t="e">
        <f>AND(#REF!,"AAAAAG8d3a4=")</f>
        <v>#REF!</v>
      </c>
      <c r="FT69" t="e">
        <f>AND(#REF!,"AAAAAG8d3a8=")</f>
        <v>#REF!</v>
      </c>
      <c r="FU69" t="e">
        <f>AND(#REF!,"AAAAAG8d3bA=")</f>
        <v>#REF!</v>
      </c>
      <c r="FV69" t="e">
        <f>AND(#REF!,"AAAAAG8d3bE=")</f>
        <v>#REF!</v>
      </c>
      <c r="FW69" t="e">
        <f>AND(#REF!,"AAAAAG8d3bI=")</f>
        <v>#REF!</v>
      </c>
      <c r="FX69" t="e">
        <f>AND(#REF!,"AAAAAG8d3bM=")</f>
        <v>#REF!</v>
      </c>
      <c r="FY69" t="e">
        <f>AND(#REF!,"AAAAAG8d3bQ=")</f>
        <v>#REF!</v>
      </c>
      <c r="FZ69" t="e">
        <f>AND(#REF!,"AAAAAG8d3bU=")</f>
        <v>#REF!</v>
      </c>
      <c r="GA69" t="e">
        <f>AND(#REF!,"AAAAAG8d3bY=")</f>
        <v>#REF!</v>
      </c>
      <c r="GB69" t="e">
        <f>AND(#REF!,"AAAAAG8d3bc=")</f>
        <v>#REF!</v>
      </c>
      <c r="GC69" t="e">
        <f>IF(#REF!,"AAAAAG8d3bg=",0)</f>
        <v>#REF!</v>
      </c>
      <c r="GD69" t="e">
        <f>AND(#REF!,"AAAAAG8d3bk=")</f>
        <v>#REF!</v>
      </c>
      <c r="GE69" t="e">
        <f>AND(#REF!,"AAAAAG8d3bo=")</f>
        <v>#REF!</v>
      </c>
      <c r="GF69" t="e">
        <f>AND(#REF!,"AAAAAG8d3bs=")</f>
        <v>#REF!</v>
      </c>
      <c r="GG69" t="e">
        <f>AND(#REF!,"AAAAAG8d3bw=")</f>
        <v>#REF!</v>
      </c>
      <c r="GH69" t="e">
        <f>AND(#REF!,"AAAAAG8d3b0=")</f>
        <v>#REF!</v>
      </c>
      <c r="GI69" t="e">
        <f>AND(#REF!,"AAAAAG8d3b4=")</f>
        <v>#REF!</v>
      </c>
      <c r="GJ69" t="e">
        <f>AND(#REF!,"AAAAAG8d3b8=")</f>
        <v>#REF!</v>
      </c>
      <c r="GK69" t="e">
        <f>AND(#REF!,"AAAAAG8d3cA=")</f>
        <v>#REF!</v>
      </c>
      <c r="GL69" t="e">
        <f>AND(#REF!,"AAAAAG8d3cE=")</f>
        <v>#REF!</v>
      </c>
      <c r="GM69" t="e">
        <f>AND(#REF!,"AAAAAG8d3cI=")</f>
        <v>#REF!</v>
      </c>
      <c r="GN69" t="e">
        <f>AND(#REF!,"AAAAAG8d3cM=")</f>
        <v>#REF!</v>
      </c>
      <c r="GO69" t="e">
        <f>AND(#REF!,"AAAAAG8d3cQ=")</f>
        <v>#REF!</v>
      </c>
      <c r="GP69" t="e">
        <f>AND(#REF!,"AAAAAG8d3cU=")</f>
        <v>#REF!</v>
      </c>
      <c r="GQ69" t="e">
        <f>AND(#REF!,"AAAAAG8d3cY=")</f>
        <v>#REF!</v>
      </c>
      <c r="GR69" t="e">
        <f>AND(#REF!,"AAAAAG8d3cc=")</f>
        <v>#REF!</v>
      </c>
      <c r="GS69" t="e">
        <f>AND(#REF!,"AAAAAG8d3cg=")</f>
        <v>#REF!</v>
      </c>
      <c r="GT69" t="e">
        <f>AND(#REF!,"AAAAAG8d3ck=")</f>
        <v>#REF!</v>
      </c>
      <c r="GU69" t="e">
        <f>AND(#REF!,"AAAAAG8d3co=")</f>
        <v>#REF!</v>
      </c>
      <c r="GV69" t="e">
        <f>AND(#REF!,"AAAAAG8d3cs=")</f>
        <v>#REF!</v>
      </c>
      <c r="GW69" t="e">
        <f>AND(#REF!,"AAAAAG8d3cw=")</f>
        <v>#REF!</v>
      </c>
      <c r="GX69" t="e">
        <f>AND(#REF!,"AAAAAG8d3c0=")</f>
        <v>#REF!</v>
      </c>
      <c r="GY69" t="e">
        <f>AND(#REF!,"AAAAAG8d3c4=")</f>
        <v>#REF!</v>
      </c>
      <c r="GZ69" t="e">
        <f>AND(#REF!,"AAAAAG8d3c8=")</f>
        <v>#REF!</v>
      </c>
      <c r="HA69" t="e">
        <f>AND(#REF!,"AAAAAG8d3dA=")</f>
        <v>#REF!</v>
      </c>
      <c r="HB69" t="e">
        <f>AND(#REF!,"AAAAAG8d3dE=")</f>
        <v>#REF!</v>
      </c>
      <c r="HC69" t="e">
        <f>AND(#REF!,"AAAAAG8d3dI=")</f>
        <v>#REF!</v>
      </c>
      <c r="HD69" t="e">
        <f>IF(#REF!,"AAAAAG8d3dM=",0)</f>
        <v>#REF!</v>
      </c>
      <c r="HE69" t="e">
        <f>AND(#REF!,"AAAAAG8d3dQ=")</f>
        <v>#REF!</v>
      </c>
      <c r="HF69" t="e">
        <f>AND(#REF!,"AAAAAG8d3dU=")</f>
        <v>#REF!</v>
      </c>
      <c r="HG69" t="e">
        <f>AND(#REF!,"AAAAAG8d3dY=")</f>
        <v>#REF!</v>
      </c>
      <c r="HH69" t="e">
        <f>AND(#REF!,"AAAAAG8d3dc=")</f>
        <v>#REF!</v>
      </c>
      <c r="HI69" t="e">
        <f>AND(#REF!,"AAAAAG8d3dg=")</f>
        <v>#REF!</v>
      </c>
      <c r="HJ69" t="e">
        <f>AND(#REF!,"AAAAAG8d3dk=")</f>
        <v>#REF!</v>
      </c>
      <c r="HK69" t="e">
        <f>AND(#REF!,"AAAAAG8d3do=")</f>
        <v>#REF!</v>
      </c>
      <c r="HL69" t="e">
        <f>AND(#REF!,"AAAAAG8d3ds=")</f>
        <v>#REF!</v>
      </c>
      <c r="HM69" t="e">
        <f>AND(#REF!,"AAAAAG8d3dw=")</f>
        <v>#REF!</v>
      </c>
      <c r="HN69" t="e">
        <f>AND(#REF!,"AAAAAG8d3d0=")</f>
        <v>#REF!</v>
      </c>
      <c r="HO69" t="e">
        <f>AND(#REF!,"AAAAAG8d3d4=")</f>
        <v>#REF!</v>
      </c>
      <c r="HP69" t="e">
        <f>AND(#REF!,"AAAAAG8d3d8=")</f>
        <v>#REF!</v>
      </c>
      <c r="HQ69" t="e">
        <f>AND(#REF!,"AAAAAG8d3eA=")</f>
        <v>#REF!</v>
      </c>
      <c r="HR69" t="e">
        <f>AND(#REF!,"AAAAAG8d3eE=")</f>
        <v>#REF!</v>
      </c>
      <c r="HS69" t="e">
        <f>AND(#REF!,"AAAAAG8d3eI=")</f>
        <v>#REF!</v>
      </c>
      <c r="HT69" t="e">
        <f>AND(#REF!,"AAAAAG8d3eM=")</f>
        <v>#REF!</v>
      </c>
      <c r="HU69" t="e">
        <f>AND(#REF!,"AAAAAG8d3eQ=")</f>
        <v>#REF!</v>
      </c>
      <c r="HV69" t="e">
        <f>AND(#REF!,"AAAAAG8d3eU=")</f>
        <v>#REF!</v>
      </c>
      <c r="HW69" t="e">
        <f>AND(#REF!,"AAAAAG8d3eY=")</f>
        <v>#REF!</v>
      </c>
      <c r="HX69" t="e">
        <f>AND(#REF!,"AAAAAG8d3ec=")</f>
        <v>#REF!</v>
      </c>
      <c r="HY69" t="e">
        <f>AND(#REF!,"AAAAAG8d3eg=")</f>
        <v>#REF!</v>
      </c>
      <c r="HZ69" t="e">
        <f>AND(#REF!,"AAAAAG8d3ek=")</f>
        <v>#REF!</v>
      </c>
      <c r="IA69" t="e">
        <f>AND(#REF!,"AAAAAG8d3eo=")</f>
        <v>#REF!</v>
      </c>
      <c r="IB69" t="e">
        <f>AND(#REF!,"AAAAAG8d3es=")</f>
        <v>#REF!</v>
      </c>
      <c r="IC69" t="e">
        <f>AND(#REF!,"AAAAAG8d3ew=")</f>
        <v>#REF!</v>
      </c>
      <c r="ID69" t="e">
        <f>AND(#REF!,"AAAAAG8d3e0=")</f>
        <v>#REF!</v>
      </c>
      <c r="IE69" t="e">
        <f>IF(#REF!,"AAAAAG8d3e4=",0)</f>
        <v>#REF!</v>
      </c>
      <c r="IF69" t="e">
        <f>AND(#REF!,"AAAAAG8d3e8=")</f>
        <v>#REF!</v>
      </c>
      <c r="IG69" t="e">
        <f>AND(#REF!,"AAAAAG8d3fA=")</f>
        <v>#REF!</v>
      </c>
      <c r="IH69" t="e">
        <f>AND(#REF!,"AAAAAG8d3fE=")</f>
        <v>#REF!</v>
      </c>
      <c r="II69" t="e">
        <f>AND(#REF!,"AAAAAG8d3fI=")</f>
        <v>#REF!</v>
      </c>
      <c r="IJ69" t="e">
        <f>AND(#REF!,"AAAAAG8d3fM=")</f>
        <v>#REF!</v>
      </c>
      <c r="IK69" t="e">
        <f>AND(#REF!,"AAAAAG8d3fQ=")</f>
        <v>#REF!</v>
      </c>
      <c r="IL69" t="e">
        <f>AND(#REF!,"AAAAAG8d3fU=")</f>
        <v>#REF!</v>
      </c>
      <c r="IM69" t="e">
        <f>AND(#REF!,"AAAAAG8d3fY=")</f>
        <v>#REF!</v>
      </c>
      <c r="IN69" t="e">
        <f>AND(#REF!,"AAAAAG8d3fc=")</f>
        <v>#REF!</v>
      </c>
      <c r="IO69" t="e">
        <f>AND(#REF!,"AAAAAG8d3fg=")</f>
        <v>#REF!</v>
      </c>
      <c r="IP69" t="e">
        <f>AND(#REF!,"AAAAAG8d3fk=")</f>
        <v>#REF!</v>
      </c>
      <c r="IQ69" t="e">
        <f>AND(#REF!,"AAAAAG8d3fo=")</f>
        <v>#REF!</v>
      </c>
      <c r="IR69" t="e">
        <f>AND(#REF!,"AAAAAG8d3fs=")</f>
        <v>#REF!</v>
      </c>
      <c r="IS69" t="e">
        <f>AND(#REF!,"AAAAAG8d3fw=")</f>
        <v>#REF!</v>
      </c>
      <c r="IT69" t="e">
        <f>AND(#REF!,"AAAAAG8d3f0=")</f>
        <v>#REF!</v>
      </c>
      <c r="IU69" t="e">
        <f>AND(#REF!,"AAAAAG8d3f4=")</f>
        <v>#REF!</v>
      </c>
      <c r="IV69" t="e">
        <f>AND(#REF!,"AAAAAG8d3f8=")</f>
        <v>#REF!</v>
      </c>
    </row>
    <row r="70" spans="1:256" x14ac:dyDescent="0.2">
      <c r="A70" t="e">
        <f>AND(#REF!,"AAAAAHfV9wA=")</f>
        <v>#REF!</v>
      </c>
      <c r="B70" t="e">
        <f>AND(#REF!,"AAAAAHfV9wE=")</f>
        <v>#REF!</v>
      </c>
      <c r="C70" t="e">
        <f>AND(#REF!,"AAAAAHfV9wI=")</f>
        <v>#REF!</v>
      </c>
      <c r="D70" t="e">
        <f>AND(#REF!,"AAAAAHfV9wM=")</f>
        <v>#REF!</v>
      </c>
      <c r="E70" t="e">
        <f>AND(#REF!,"AAAAAHfV9wQ=")</f>
        <v>#REF!</v>
      </c>
      <c r="F70" t="e">
        <f>AND(#REF!,"AAAAAHfV9wU=")</f>
        <v>#REF!</v>
      </c>
      <c r="G70" t="e">
        <f>AND(#REF!,"AAAAAHfV9wY=")</f>
        <v>#REF!</v>
      </c>
      <c r="H70" t="e">
        <f>AND(#REF!,"AAAAAHfV9wc=")</f>
        <v>#REF!</v>
      </c>
      <c r="I70" t="e">
        <f>AND(#REF!,"AAAAAHfV9wg=")</f>
        <v>#REF!</v>
      </c>
      <c r="J70" t="e">
        <f>IF(#REF!,"AAAAAHfV9wk=",0)</f>
        <v>#REF!</v>
      </c>
      <c r="K70" t="e">
        <f>AND(#REF!,"AAAAAHfV9wo=")</f>
        <v>#REF!</v>
      </c>
      <c r="L70" t="e">
        <f>AND(#REF!,"AAAAAHfV9ws=")</f>
        <v>#REF!</v>
      </c>
      <c r="M70" t="e">
        <f>AND(#REF!,"AAAAAHfV9ww=")</f>
        <v>#REF!</v>
      </c>
      <c r="N70" t="e">
        <f>AND(#REF!,"AAAAAHfV9w0=")</f>
        <v>#REF!</v>
      </c>
      <c r="O70" t="e">
        <f>AND(#REF!,"AAAAAHfV9w4=")</f>
        <v>#REF!</v>
      </c>
      <c r="P70" t="e">
        <f>AND(#REF!,"AAAAAHfV9w8=")</f>
        <v>#REF!</v>
      </c>
      <c r="Q70" t="e">
        <f>AND(#REF!,"AAAAAHfV9xA=")</f>
        <v>#REF!</v>
      </c>
      <c r="R70" t="e">
        <f>AND(#REF!,"AAAAAHfV9xE=")</f>
        <v>#REF!</v>
      </c>
      <c r="S70" t="e">
        <f>AND(#REF!,"AAAAAHfV9xI=")</f>
        <v>#REF!</v>
      </c>
      <c r="T70" t="e">
        <f>AND(#REF!,"AAAAAHfV9xM=")</f>
        <v>#REF!</v>
      </c>
      <c r="U70" t="e">
        <f>AND(#REF!,"AAAAAHfV9xQ=")</f>
        <v>#REF!</v>
      </c>
      <c r="V70" t="e">
        <f>AND(#REF!,"AAAAAHfV9xU=")</f>
        <v>#REF!</v>
      </c>
      <c r="W70" t="e">
        <f>AND(#REF!,"AAAAAHfV9xY=")</f>
        <v>#REF!</v>
      </c>
      <c r="X70" t="e">
        <f>AND(#REF!,"AAAAAHfV9xc=")</f>
        <v>#REF!</v>
      </c>
      <c r="Y70" t="e">
        <f>AND(#REF!,"AAAAAHfV9xg=")</f>
        <v>#REF!</v>
      </c>
      <c r="Z70" t="e">
        <f>AND(#REF!,"AAAAAHfV9xk=")</f>
        <v>#REF!</v>
      </c>
      <c r="AA70" t="e">
        <f>AND(#REF!,"AAAAAHfV9xo=")</f>
        <v>#REF!</v>
      </c>
      <c r="AB70" t="e">
        <f>AND(#REF!,"AAAAAHfV9xs=")</f>
        <v>#REF!</v>
      </c>
      <c r="AC70" t="e">
        <f>AND(#REF!,"AAAAAHfV9xw=")</f>
        <v>#REF!</v>
      </c>
      <c r="AD70" t="e">
        <f>AND(#REF!,"AAAAAHfV9x0=")</f>
        <v>#REF!</v>
      </c>
      <c r="AE70" t="e">
        <f>AND(#REF!,"AAAAAHfV9x4=")</f>
        <v>#REF!</v>
      </c>
      <c r="AF70" t="e">
        <f>AND(#REF!,"AAAAAHfV9x8=")</f>
        <v>#REF!</v>
      </c>
      <c r="AG70" t="e">
        <f>AND(#REF!,"AAAAAHfV9yA=")</f>
        <v>#REF!</v>
      </c>
      <c r="AH70" t="e">
        <f>AND(#REF!,"AAAAAHfV9yE=")</f>
        <v>#REF!</v>
      </c>
      <c r="AI70" t="e">
        <f>AND(#REF!,"AAAAAHfV9yI=")</f>
        <v>#REF!</v>
      </c>
      <c r="AJ70" t="e">
        <f>AND(#REF!,"AAAAAHfV9yM=")</f>
        <v>#REF!</v>
      </c>
      <c r="AK70" t="e">
        <f>IF(#REF!,"AAAAAHfV9yQ=",0)</f>
        <v>#REF!</v>
      </c>
      <c r="AL70" t="e">
        <f>AND(#REF!,"AAAAAHfV9yU=")</f>
        <v>#REF!</v>
      </c>
      <c r="AM70" t="e">
        <f>AND(#REF!,"AAAAAHfV9yY=")</f>
        <v>#REF!</v>
      </c>
      <c r="AN70" t="e">
        <f>AND(#REF!,"AAAAAHfV9yc=")</f>
        <v>#REF!</v>
      </c>
      <c r="AO70" t="e">
        <f>AND(#REF!,"AAAAAHfV9yg=")</f>
        <v>#REF!</v>
      </c>
      <c r="AP70" t="e">
        <f>AND(#REF!,"AAAAAHfV9yk=")</f>
        <v>#REF!</v>
      </c>
      <c r="AQ70" t="e">
        <f>AND(#REF!,"AAAAAHfV9yo=")</f>
        <v>#REF!</v>
      </c>
      <c r="AR70" t="e">
        <f>AND(#REF!,"AAAAAHfV9ys=")</f>
        <v>#REF!</v>
      </c>
      <c r="AS70" t="e">
        <f>AND(#REF!,"AAAAAHfV9yw=")</f>
        <v>#REF!</v>
      </c>
      <c r="AT70" t="e">
        <f>AND(#REF!,"AAAAAHfV9y0=")</f>
        <v>#REF!</v>
      </c>
      <c r="AU70" t="e">
        <f>AND(#REF!,"AAAAAHfV9y4=")</f>
        <v>#REF!</v>
      </c>
      <c r="AV70" t="e">
        <f>AND(#REF!,"AAAAAHfV9y8=")</f>
        <v>#REF!</v>
      </c>
      <c r="AW70" t="e">
        <f>AND(#REF!,"AAAAAHfV9zA=")</f>
        <v>#REF!</v>
      </c>
      <c r="AX70" t="e">
        <f>AND(#REF!,"AAAAAHfV9zE=")</f>
        <v>#REF!</v>
      </c>
      <c r="AY70" t="e">
        <f>AND(#REF!,"AAAAAHfV9zI=")</f>
        <v>#REF!</v>
      </c>
      <c r="AZ70" t="e">
        <f>AND(#REF!,"AAAAAHfV9zM=")</f>
        <v>#REF!</v>
      </c>
      <c r="BA70" t="e">
        <f>AND(#REF!,"AAAAAHfV9zQ=")</f>
        <v>#REF!</v>
      </c>
      <c r="BB70" t="e">
        <f>AND(#REF!,"AAAAAHfV9zU=")</f>
        <v>#REF!</v>
      </c>
      <c r="BC70" t="e">
        <f>AND(#REF!,"AAAAAHfV9zY=")</f>
        <v>#REF!</v>
      </c>
      <c r="BD70" t="e">
        <f>AND(#REF!,"AAAAAHfV9zc=")</f>
        <v>#REF!</v>
      </c>
      <c r="BE70" t="e">
        <f>AND(#REF!,"AAAAAHfV9zg=")</f>
        <v>#REF!</v>
      </c>
      <c r="BF70" t="e">
        <f>AND(#REF!,"AAAAAHfV9zk=")</f>
        <v>#REF!</v>
      </c>
      <c r="BG70" t="e">
        <f>AND(#REF!,"AAAAAHfV9zo=")</f>
        <v>#REF!</v>
      </c>
      <c r="BH70" t="e">
        <f>AND(#REF!,"AAAAAHfV9zs=")</f>
        <v>#REF!</v>
      </c>
      <c r="BI70" t="e">
        <f>AND(#REF!,"AAAAAHfV9zw=")</f>
        <v>#REF!</v>
      </c>
      <c r="BJ70" t="e">
        <f>AND(#REF!,"AAAAAHfV9z0=")</f>
        <v>#REF!</v>
      </c>
      <c r="BK70" t="e">
        <f>AND(#REF!,"AAAAAHfV9z4=")</f>
        <v>#REF!</v>
      </c>
      <c r="BL70" t="e">
        <f>IF(#REF!,"AAAAAHfV9z8=",0)</f>
        <v>#REF!</v>
      </c>
      <c r="BM70" t="e">
        <f>AND(#REF!,"AAAAAHfV90A=")</f>
        <v>#REF!</v>
      </c>
      <c r="BN70" t="e">
        <f>AND(#REF!,"AAAAAHfV90E=")</f>
        <v>#REF!</v>
      </c>
      <c r="BO70" t="e">
        <f>AND(#REF!,"AAAAAHfV90I=")</f>
        <v>#REF!</v>
      </c>
      <c r="BP70" t="e">
        <f>AND(#REF!,"AAAAAHfV90M=")</f>
        <v>#REF!</v>
      </c>
      <c r="BQ70" t="e">
        <f>AND(#REF!,"AAAAAHfV90Q=")</f>
        <v>#REF!</v>
      </c>
      <c r="BR70" t="e">
        <f>AND(#REF!,"AAAAAHfV90U=")</f>
        <v>#REF!</v>
      </c>
      <c r="BS70" t="e">
        <f>AND(#REF!,"AAAAAHfV90Y=")</f>
        <v>#REF!</v>
      </c>
      <c r="BT70" t="e">
        <f>AND(#REF!,"AAAAAHfV90c=")</f>
        <v>#REF!</v>
      </c>
      <c r="BU70" t="e">
        <f>AND(#REF!,"AAAAAHfV90g=")</f>
        <v>#REF!</v>
      </c>
      <c r="BV70" t="e">
        <f>AND(#REF!,"AAAAAHfV90k=")</f>
        <v>#REF!</v>
      </c>
      <c r="BW70" t="e">
        <f>AND(#REF!,"AAAAAHfV90o=")</f>
        <v>#REF!</v>
      </c>
      <c r="BX70" t="e">
        <f>AND(#REF!,"AAAAAHfV90s=")</f>
        <v>#REF!</v>
      </c>
      <c r="BY70" t="e">
        <f>AND(#REF!,"AAAAAHfV90w=")</f>
        <v>#REF!</v>
      </c>
      <c r="BZ70" t="e">
        <f>AND(#REF!,"AAAAAHfV900=")</f>
        <v>#REF!</v>
      </c>
      <c r="CA70" t="e">
        <f>AND(#REF!,"AAAAAHfV904=")</f>
        <v>#REF!</v>
      </c>
      <c r="CB70" t="e">
        <f>AND(#REF!,"AAAAAHfV908=")</f>
        <v>#REF!</v>
      </c>
      <c r="CC70" t="e">
        <f>AND(#REF!,"AAAAAHfV91A=")</f>
        <v>#REF!</v>
      </c>
      <c r="CD70" t="e">
        <f>AND(#REF!,"AAAAAHfV91E=")</f>
        <v>#REF!</v>
      </c>
      <c r="CE70" t="e">
        <f>AND(#REF!,"AAAAAHfV91I=")</f>
        <v>#REF!</v>
      </c>
      <c r="CF70" t="e">
        <f>AND(#REF!,"AAAAAHfV91M=")</f>
        <v>#REF!</v>
      </c>
      <c r="CG70" t="e">
        <f>AND(#REF!,"AAAAAHfV91Q=")</f>
        <v>#REF!</v>
      </c>
      <c r="CH70" t="e">
        <f>AND(#REF!,"AAAAAHfV91U=")</f>
        <v>#REF!</v>
      </c>
      <c r="CI70" t="e">
        <f>AND(#REF!,"AAAAAHfV91Y=")</f>
        <v>#REF!</v>
      </c>
      <c r="CJ70" t="e">
        <f>AND(#REF!,"AAAAAHfV91c=")</f>
        <v>#REF!</v>
      </c>
      <c r="CK70" t="e">
        <f>AND(#REF!,"AAAAAHfV91g=")</f>
        <v>#REF!</v>
      </c>
      <c r="CL70" t="e">
        <f>AND(#REF!,"AAAAAHfV91k=")</f>
        <v>#REF!</v>
      </c>
      <c r="CM70" t="e">
        <f>IF(#REF!,"AAAAAHfV91o=",0)</f>
        <v>#REF!</v>
      </c>
      <c r="CN70" t="e">
        <f>AND(#REF!,"AAAAAHfV91s=")</f>
        <v>#REF!</v>
      </c>
      <c r="CO70" t="e">
        <f>AND(#REF!,"AAAAAHfV91w=")</f>
        <v>#REF!</v>
      </c>
      <c r="CP70" t="e">
        <f>AND(#REF!,"AAAAAHfV910=")</f>
        <v>#REF!</v>
      </c>
      <c r="CQ70" t="e">
        <f>AND(#REF!,"AAAAAHfV914=")</f>
        <v>#REF!</v>
      </c>
      <c r="CR70" t="e">
        <f>AND(#REF!,"AAAAAHfV918=")</f>
        <v>#REF!</v>
      </c>
      <c r="CS70" t="e">
        <f>AND(#REF!,"AAAAAHfV92A=")</f>
        <v>#REF!</v>
      </c>
      <c r="CT70" t="e">
        <f>AND(#REF!,"AAAAAHfV92E=")</f>
        <v>#REF!</v>
      </c>
      <c r="CU70" t="e">
        <f>AND(#REF!,"AAAAAHfV92I=")</f>
        <v>#REF!</v>
      </c>
      <c r="CV70" t="e">
        <f>AND(#REF!,"AAAAAHfV92M=")</f>
        <v>#REF!</v>
      </c>
      <c r="CW70" t="e">
        <f>AND(#REF!,"AAAAAHfV92Q=")</f>
        <v>#REF!</v>
      </c>
      <c r="CX70" t="e">
        <f>AND(#REF!,"AAAAAHfV92U=")</f>
        <v>#REF!</v>
      </c>
      <c r="CY70" t="e">
        <f>AND(#REF!,"AAAAAHfV92Y=")</f>
        <v>#REF!</v>
      </c>
      <c r="CZ70" t="e">
        <f>AND(#REF!,"AAAAAHfV92c=")</f>
        <v>#REF!</v>
      </c>
      <c r="DA70" t="e">
        <f>AND(#REF!,"AAAAAHfV92g=")</f>
        <v>#REF!</v>
      </c>
      <c r="DB70" t="e">
        <f>AND(#REF!,"AAAAAHfV92k=")</f>
        <v>#REF!</v>
      </c>
      <c r="DC70" t="e">
        <f>AND(#REF!,"AAAAAHfV92o=")</f>
        <v>#REF!</v>
      </c>
      <c r="DD70" t="e">
        <f>AND(#REF!,"AAAAAHfV92s=")</f>
        <v>#REF!</v>
      </c>
      <c r="DE70" t="e">
        <f>AND(#REF!,"AAAAAHfV92w=")</f>
        <v>#REF!</v>
      </c>
      <c r="DF70" t="e">
        <f>AND(#REF!,"AAAAAHfV920=")</f>
        <v>#REF!</v>
      </c>
      <c r="DG70" t="e">
        <f>AND(#REF!,"AAAAAHfV924=")</f>
        <v>#REF!</v>
      </c>
      <c r="DH70" t="e">
        <f>AND(#REF!,"AAAAAHfV928=")</f>
        <v>#REF!</v>
      </c>
      <c r="DI70" t="e">
        <f>AND(#REF!,"AAAAAHfV93A=")</f>
        <v>#REF!</v>
      </c>
      <c r="DJ70" t="e">
        <f>AND(#REF!,"AAAAAHfV93E=")</f>
        <v>#REF!</v>
      </c>
      <c r="DK70" t="e">
        <f>AND(#REF!,"AAAAAHfV93I=")</f>
        <v>#REF!</v>
      </c>
      <c r="DL70" t="e">
        <f>AND(#REF!,"AAAAAHfV93M=")</f>
        <v>#REF!</v>
      </c>
      <c r="DM70" t="e">
        <f>AND(#REF!,"AAAAAHfV93Q=")</f>
        <v>#REF!</v>
      </c>
      <c r="DN70" t="e">
        <f>IF(#REF!,"AAAAAHfV93U=",0)</f>
        <v>#REF!</v>
      </c>
      <c r="DO70" t="e">
        <f>AND(#REF!,"AAAAAHfV93Y=")</f>
        <v>#REF!</v>
      </c>
      <c r="DP70" t="e">
        <f>AND(#REF!,"AAAAAHfV93c=")</f>
        <v>#REF!</v>
      </c>
      <c r="DQ70" t="e">
        <f>AND(#REF!,"AAAAAHfV93g=")</f>
        <v>#REF!</v>
      </c>
      <c r="DR70" t="e">
        <f>AND(#REF!,"AAAAAHfV93k=")</f>
        <v>#REF!</v>
      </c>
      <c r="DS70" t="e">
        <f>AND(#REF!,"AAAAAHfV93o=")</f>
        <v>#REF!</v>
      </c>
      <c r="DT70" t="e">
        <f>AND(#REF!,"AAAAAHfV93s=")</f>
        <v>#REF!</v>
      </c>
      <c r="DU70" t="e">
        <f>AND(#REF!,"AAAAAHfV93w=")</f>
        <v>#REF!</v>
      </c>
      <c r="DV70" t="e">
        <f>AND(#REF!,"AAAAAHfV930=")</f>
        <v>#REF!</v>
      </c>
      <c r="DW70" t="e">
        <f>AND(#REF!,"AAAAAHfV934=")</f>
        <v>#REF!</v>
      </c>
      <c r="DX70" t="e">
        <f>AND(#REF!,"AAAAAHfV938=")</f>
        <v>#REF!</v>
      </c>
      <c r="DY70" t="e">
        <f>AND(#REF!,"AAAAAHfV94A=")</f>
        <v>#REF!</v>
      </c>
      <c r="DZ70" t="e">
        <f>AND(#REF!,"AAAAAHfV94E=")</f>
        <v>#REF!</v>
      </c>
      <c r="EA70" t="e">
        <f>AND(#REF!,"AAAAAHfV94I=")</f>
        <v>#REF!</v>
      </c>
      <c r="EB70" t="e">
        <f>AND(#REF!,"AAAAAHfV94M=")</f>
        <v>#REF!</v>
      </c>
      <c r="EC70" t="e">
        <f>AND(#REF!,"AAAAAHfV94Q=")</f>
        <v>#REF!</v>
      </c>
      <c r="ED70" t="e">
        <f>AND(#REF!,"AAAAAHfV94U=")</f>
        <v>#REF!</v>
      </c>
      <c r="EE70" t="e">
        <f>AND(#REF!,"AAAAAHfV94Y=")</f>
        <v>#REF!</v>
      </c>
      <c r="EF70" t="e">
        <f>AND(#REF!,"AAAAAHfV94c=")</f>
        <v>#REF!</v>
      </c>
      <c r="EG70" t="e">
        <f>AND(#REF!,"AAAAAHfV94g=")</f>
        <v>#REF!</v>
      </c>
      <c r="EH70" t="e">
        <f>AND(#REF!,"AAAAAHfV94k=")</f>
        <v>#REF!</v>
      </c>
      <c r="EI70" t="e">
        <f>AND(#REF!,"AAAAAHfV94o=")</f>
        <v>#REF!</v>
      </c>
      <c r="EJ70" t="e">
        <f>AND(#REF!,"AAAAAHfV94s=")</f>
        <v>#REF!</v>
      </c>
      <c r="EK70" t="e">
        <f>AND(#REF!,"AAAAAHfV94w=")</f>
        <v>#REF!</v>
      </c>
      <c r="EL70" t="e">
        <f>AND(#REF!,"AAAAAHfV940=")</f>
        <v>#REF!</v>
      </c>
      <c r="EM70" t="e">
        <f>AND(#REF!,"AAAAAHfV944=")</f>
        <v>#REF!</v>
      </c>
      <c r="EN70" t="e">
        <f>AND(#REF!,"AAAAAHfV948=")</f>
        <v>#REF!</v>
      </c>
      <c r="EO70" t="e">
        <f>IF(#REF!,"AAAAAHfV95A=",0)</f>
        <v>#REF!</v>
      </c>
      <c r="EP70" t="e">
        <f>AND(#REF!,"AAAAAHfV95E=")</f>
        <v>#REF!</v>
      </c>
      <c r="EQ70" t="e">
        <f>AND(#REF!,"AAAAAHfV95I=")</f>
        <v>#REF!</v>
      </c>
      <c r="ER70" t="e">
        <f>AND(#REF!,"AAAAAHfV95M=")</f>
        <v>#REF!</v>
      </c>
      <c r="ES70" t="e">
        <f>AND(#REF!,"AAAAAHfV95Q=")</f>
        <v>#REF!</v>
      </c>
      <c r="ET70" t="e">
        <f>AND(#REF!,"AAAAAHfV95U=")</f>
        <v>#REF!</v>
      </c>
      <c r="EU70" t="e">
        <f>AND(#REF!,"AAAAAHfV95Y=")</f>
        <v>#REF!</v>
      </c>
      <c r="EV70" t="e">
        <f>AND(#REF!,"AAAAAHfV95c=")</f>
        <v>#REF!</v>
      </c>
      <c r="EW70" t="e">
        <f>AND(#REF!,"AAAAAHfV95g=")</f>
        <v>#REF!</v>
      </c>
      <c r="EX70" t="e">
        <f>AND(#REF!,"AAAAAHfV95k=")</f>
        <v>#REF!</v>
      </c>
      <c r="EY70" t="e">
        <f>AND(#REF!,"AAAAAHfV95o=")</f>
        <v>#REF!</v>
      </c>
      <c r="EZ70" t="e">
        <f>AND(#REF!,"AAAAAHfV95s=")</f>
        <v>#REF!</v>
      </c>
      <c r="FA70" t="e">
        <f>AND(#REF!,"AAAAAHfV95w=")</f>
        <v>#REF!</v>
      </c>
      <c r="FB70" t="e">
        <f>AND(#REF!,"AAAAAHfV950=")</f>
        <v>#REF!</v>
      </c>
      <c r="FC70" t="e">
        <f>AND(#REF!,"AAAAAHfV954=")</f>
        <v>#REF!</v>
      </c>
      <c r="FD70" t="e">
        <f>AND(#REF!,"AAAAAHfV958=")</f>
        <v>#REF!</v>
      </c>
      <c r="FE70" t="e">
        <f>AND(#REF!,"AAAAAHfV96A=")</f>
        <v>#REF!</v>
      </c>
      <c r="FF70" t="e">
        <f>AND(#REF!,"AAAAAHfV96E=")</f>
        <v>#REF!</v>
      </c>
      <c r="FG70" t="e">
        <f>AND(#REF!,"AAAAAHfV96I=")</f>
        <v>#REF!</v>
      </c>
      <c r="FH70" t="e">
        <f>AND(#REF!,"AAAAAHfV96M=")</f>
        <v>#REF!</v>
      </c>
      <c r="FI70" t="e">
        <f>AND(#REF!,"AAAAAHfV96Q=")</f>
        <v>#REF!</v>
      </c>
      <c r="FJ70" t="e">
        <f>AND(#REF!,"AAAAAHfV96U=")</f>
        <v>#REF!</v>
      </c>
      <c r="FK70" t="e">
        <f>AND(#REF!,"AAAAAHfV96Y=")</f>
        <v>#REF!</v>
      </c>
      <c r="FL70" t="e">
        <f>AND(#REF!,"AAAAAHfV96c=")</f>
        <v>#REF!</v>
      </c>
      <c r="FM70" t="e">
        <f>AND(#REF!,"AAAAAHfV96g=")</f>
        <v>#REF!</v>
      </c>
      <c r="FN70" t="e">
        <f>AND(#REF!,"AAAAAHfV96k=")</f>
        <v>#REF!</v>
      </c>
      <c r="FO70" t="e">
        <f>AND(#REF!,"AAAAAHfV96o=")</f>
        <v>#REF!</v>
      </c>
      <c r="FP70" t="e">
        <f>IF(#REF!,"AAAAAHfV96s=",0)</f>
        <v>#REF!</v>
      </c>
      <c r="FQ70" t="e">
        <f>AND(#REF!,"AAAAAHfV96w=")</f>
        <v>#REF!</v>
      </c>
      <c r="FR70" t="e">
        <f>AND(#REF!,"AAAAAHfV960=")</f>
        <v>#REF!</v>
      </c>
      <c r="FS70" t="e">
        <f>AND(#REF!,"AAAAAHfV964=")</f>
        <v>#REF!</v>
      </c>
      <c r="FT70" t="e">
        <f>AND(#REF!,"AAAAAHfV968=")</f>
        <v>#REF!</v>
      </c>
      <c r="FU70" t="e">
        <f>AND(#REF!,"AAAAAHfV97A=")</f>
        <v>#REF!</v>
      </c>
      <c r="FV70" t="e">
        <f>AND(#REF!,"AAAAAHfV97E=")</f>
        <v>#REF!</v>
      </c>
      <c r="FW70" t="e">
        <f>AND(#REF!,"AAAAAHfV97I=")</f>
        <v>#REF!</v>
      </c>
      <c r="FX70" t="e">
        <f>AND(#REF!,"AAAAAHfV97M=")</f>
        <v>#REF!</v>
      </c>
      <c r="FY70" t="e">
        <f>AND(#REF!,"AAAAAHfV97Q=")</f>
        <v>#REF!</v>
      </c>
      <c r="FZ70" t="e">
        <f>AND(#REF!,"AAAAAHfV97U=")</f>
        <v>#REF!</v>
      </c>
      <c r="GA70" t="e">
        <f>AND(#REF!,"AAAAAHfV97Y=")</f>
        <v>#REF!</v>
      </c>
      <c r="GB70" t="e">
        <f>AND(#REF!,"AAAAAHfV97c=")</f>
        <v>#REF!</v>
      </c>
      <c r="GC70" t="e">
        <f>AND(#REF!,"AAAAAHfV97g=")</f>
        <v>#REF!</v>
      </c>
      <c r="GD70" t="e">
        <f>AND(#REF!,"AAAAAHfV97k=")</f>
        <v>#REF!</v>
      </c>
      <c r="GE70" t="e">
        <f>AND(#REF!,"AAAAAHfV97o=")</f>
        <v>#REF!</v>
      </c>
      <c r="GF70" t="e">
        <f>AND(#REF!,"AAAAAHfV97s=")</f>
        <v>#REF!</v>
      </c>
      <c r="GG70" t="e">
        <f>AND(#REF!,"AAAAAHfV97w=")</f>
        <v>#REF!</v>
      </c>
      <c r="GH70" t="e">
        <f>AND(#REF!,"AAAAAHfV970=")</f>
        <v>#REF!</v>
      </c>
      <c r="GI70" t="e">
        <f>AND(#REF!,"AAAAAHfV974=")</f>
        <v>#REF!</v>
      </c>
      <c r="GJ70" t="e">
        <f>AND(#REF!,"AAAAAHfV978=")</f>
        <v>#REF!</v>
      </c>
      <c r="GK70" t="e">
        <f>AND(#REF!,"AAAAAHfV98A=")</f>
        <v>#REF!</v>
      </c>
      <c r="GL70" t="e">
        <f>AND(#REF!,"AAAAAHfV98E=")</f>
        <v>#REF!</v>
      </c>
      <c r="GM70" t="e">
        <f>AND(#REF!,"AAAAAHfV98I=")</f>
        <v>#REF!</v>
      </c>
      <c r="GN70" t="e">
        <f>AND(#REF!,"AAAAAHfV98M=")</f>
        <v>#REF!</v>
      </c>
      <c r="GO70" t="e">
        <f>AND(#REF!,"AAAAAHfV98Q=")</f>
        <v>#REF!</v>
      </c>
      <c r="GP70" t="e">
        <f>AND(#REF!,"AAAAAHfV98U=")</f>
        <v>#REF!</v>
      </c>
      <c r="GQ70" t="e">
        <f>IF(#REF!,"AAAAAHfV98Y=",0)</f>
        <v>#REF!</v>
      </c>
      <c r="GR70" t="e">
        <f>AND(#REF!,"AAAAAHfV98c=")</f>
        <v>#REF!</v>
      </c>
      <c r="GS70" t="e">
        <f>AND(#REF!,"AAAAAHfV98g=")</f>
        <v>#REF!</v>
      </c>
      <c r="GT70" t="e">
        <f>AND(#REF!,"AAAAAHfV98k=")</f>
        <v>#REF!</v>
      </c>
      <c r="GU70" t="e">
        <f>AND(#REF!,"AAAAAHfV98o=")</f>
        <v>#REF!</v>
      </c>
      <c r="GV70" t="e">
        <f>AND(#REF!,"AAAAAHfV98s=")</f>
        <v>#REF!</v>
      </c>
      <c r="GW70" t="e">
        <f>AND(#REF!,"AAAAAHfV98w=")</f>
        <v>#REF!</v>
      </c>
      <c r="GX70" t="e">
        <f>AND(#REF!,"AAAAAHfV980=")</f>
        <v>#REF!</v>
      </c>
      <c r="GY70" t="e">
        <f>AND(#REF!,"AAAAAHfV984=")</f>
        <v>#REF!</v>
      </c>
      <c r="GZ70" t="e">
        <f>AND(#REF!,"AAAAAHfV988=")</f>
        <v>#REF!</v>
      </c>
      <c r="HA70" t="e">
        <f>AND(#REF!,"AAAAAHfV99A=")</f>
        <v>#REF!</v>
      </c>
      <c r="HB70" t="e">
        <f>AND(#REF!,"AAAAAHfV99E=")</f>
        <v>#REF!</v>
      </c>
      <c r="HC70" t="e">
        <f>AND(#REF!,"AAAAAHfV99I=")</f>
        <v>#REF!</v>
      </c>
      <c r="HD70" t="e">
        <f>AND(#REF!,"AAAAAHfV99M=")</f>
        <v>#REF!</v>
      </c>
      <c r="HE70" t="e">
        <f>AND(#REF!,"AAAAAHfV99Q=")</f>
        <v>#REF!</v>
      </c>
      <c r="HF70" t="e">
        <f>AND(#REF!,"AAAAAHfV99U=")</f>
        <v>#REF!</v>
      </c>
      <c r="HG70" t="e">
        <f>AND(#REF!,"AAAAAHfV99Y=")</f>
        <v>#REF!</v>
      </c>
      <c r="HH70" t="e">
        <f>AND(#REF!,"AAAAAHfV99c=")</f>
        <v>#REF!</v>
      </c>
      <c r="HI70" t="e">
        <f>AND(#REF!,"AAAAAHfV99g=")</f>
        <v>#REF!</v>
      </c>
      <c r="HJ70" t="e">
        <f>AND(#REF!,"AAAAAHfV99k=")</f>
        <v>#REF!</v>
      </c>
      <c r="HK70" t="e">
        <f>AND(#REF!,"AAAAAHfV99o=")</f>
        <v>#REF!</v>
      </c>
      <c r="HL70" t="e">
        <f>AND(#REF!,"AAAAAHfV99s=")</f>
        <v>#REF!</v>
      </c>
      <c r="HM70" t="e">
        <f>AND(#REF!,"AAAAAHfV99w=")</f>
        <v>#REF!</v>
      </c>
      <c r="HN70" t="e">
        <f>AND(#REF!,"AAAAAHfV990=")</f>
        <v>#REF!</v>
      </c>
      <c r="HO70" t="e">
        <f>AND(#REF!,"AAAAAHfV994=")</f>
        <v>#REF!</v>
      </c>
      <c r="HP70" t="e">
        <f>AND(#REF!,"AAAAAHfV998=")</f>
        <v>#REF!</v>
      </c>
      <c r="HQ70" t="e">
        <f>AND(#REF!,"AAAAAHfV9+A=")</f>
        <v>#REF!</v>
      </c>
      <c r="HR70" t="e">
        <f>IF(#REF!,"AAAAAHfV9+E=",0)</f>
        <v>#REF!</v>
      </c>
      <c r="HS70" t="e">
        <f>AND(#REF!,"AAAAAHfV9+I=")</f>
        <v>#REF!</v>
      </c>
      <c r="HT70" t="e">
        <f>AND(#REF!,"AAAAAHfV9+M=")</f>
        <v>#REF!</v>
      </c>
      <c r="HU70" t="e">
        <f>AND(#REF!,"AAAAAHfV9+Q=")</f>
        <v>#REF!</v>
      </c>
      <c r="HV70" t="e">
        <f>AND(#REF!,"AAAAAHfV9+U=")</f>
        <v>#REF!</v>
      </c>
      <c r="HW70" t="e">
        <f>AND(#REF!,"AAAAAHfV9+Y=")</f>
        <v>#REF!</v>
      </c>
      <c r="HX70" t="e">
        <f>AND(#REF!,"AAAAAHfV9+c=")</f>
        <v>#REF!</v>
      </c>
      <c r="HY70" t="e">
        <f>AND(#REF!,"AAAAAHfV9+g=")</f>
        <v>#REF!</v>
      </c>
      <c r="HZ70" t="e">
        <f>AND(#REF!,"AAAAAHfV9+k=")</f>
        <v>#REF!</v>
      </c>
      <c r="IA70" t="e">
        <f>AND(#REF!,"AAAAAHfV9+o=")</f>
        <v>#REF!</v>
      </c>
      <c r="IB70" t="e">
        <f>AND(#REF!,"AAAAAHfV9+s=")</f>
        <v>#REF!</v>
      </c>
      <c r="IC70" t="e">
        <f>AND(#REF!,"AAAAAHfV9+w=")</f>
        <v>#REF!</v>
      </c>
      <c r="ID70" t="e">
        <f>AND(#REF!,"AAAAAHfV9+0=")</f>
        <v>#REF!</v>
      </c>
      <c r="IE70" t="e">
        <f>AND(#REF!,"AAAAAHfV9+4=")</f>
        <v>#REF!</v>
      </c>
      <c r="IF70" t="e">
        <f>AND(#REF!,"AAAAAHfV9+8=")</f>
        <v>#REF!</v>
      </c>
      <c r="IG70" t="e">
        <f>AND(#REF!,"AAAAAHfV9/A=")</f>
        <v>#REF!</v>
      </c>
      <c r="IH70" t="e">
        <f>AND(#REF!,"AAAAAHfV9/E=")</f>
        <v>#REF!</v>
      </c>
      <c r="II70" t="e">
        <f>AND(#REF!,"AAAAAHfV9/I=")</f>
        <v>#REF!</v>
      </c>
      <c r="IJ70" t="e">
        <f>AND(#REF!,"AAAAAHfV9/M=")</f>
        <v>#REF!</v>
      </c>
      <c r="IK70" t="e">
        <f>AND(#REF!,"AAAAAHfV9/Q=")</f>
        <v>#REF!</v>
      </c>
      <c r="IL70" t="e">
        <f>AND(#REF!,"AAAAAHfV9/U=")</f>
        <v>#REF!</v>
      </c>
      <c r="IM70" t="e">
        <f>AND(#REF!,"AAAAAHfV9/Y=")</f>
        <v>#REF!</v>
      </c>
      <c r="IN70" t="e">
        <f>AND(#REF!,"AAAAAHfV9/c=")</f>
        <v>#REF!</v>
      </c>
      <c r="IO70" t="e">
        <f>AND(#REF!,"AAAAAHfV9/g=")</f>
        <v>#REF!</v>
      </c>
      <c r="IP70" t="e">
        <f>AND(#REF!,"AAAAAHfV9/k=")</f>
        <v>#REF!</v>
      </c>
      <c r="IQ70" t="e">
        <f>AND(#REF!,"AAAAAHfV9/o=")</f>
        <v>#REF!</v>
      </c>
      <c r="IR70" t="e">
        <f>AND(#REF!,"AAAAAHfV9/s=")</f>
        <v>#REF!</v>
      </c>
      <c r="IS70" t="e">
        <f>IF(#REF!,"AAAAAHfV9/w=",0)</f>
        <v>#REF!</v>
      </c>
      <c r="IT70" t="e">
        <f>AND(#REF!,"AAAAAHfV9/0=")</f>
        <v>#REF!</v>
      </c>
      <c r="IU70" t="e">
        <f>AND(#REF!,"AAAAAHfV9/4=")</f>
        <v>#REF!</v>
      </c>
      <c r="IV70" t="e">
        <f>AND(#REF!,"AAAAAHfV9/8=")</f>
        <v>#REF!</v>
      </c>
    </row>
    <row r="71" spans="1:256" x14ac:dyDescent="0.2">
      <c r="A71" t="e">
        <f>AND(#REF!,"AAAAAFtruwA=")</f>
        <v>#REF!</v>
      </c>
      <c r="B71" t="e">
        <f>AND(#REF!,"AAAAAFtruwE=")</f>
        <v>#REF!</v>
      </c>
      <c r="C71" t="e">
        <f>AND(#REF!,"AAAAAFtruwI=")</f>
        <v>#REF!</v>
      </c>
      <c r="D71" t="e">
        <f>AND(#REF!,"AAAAAFtruwM=")</f>
        <v>#REF!</v>
      </c>
      <c r="E71" t="e">
        <f>AND(#REF!,"AAAAAFtruwQ=")</f>
        <v>#REF!</v>
      </c>
      <c r="F71" t="e">
        <f>AND(#REF!,"AAAAAFtruwU=")</f>
        <v>#REF!</v>
      </c>
      <c r="G71" t="e">
        <f>AND(#REF!,"AAAAAFtruwY=")</f>
        <v>#REF!</v>
      </c>
      <c r="H71" t="e">
        <f>AND(#REF!,"AAAAAFtruwc=")</f>
        <v>#REF!</v>
      </c>
      <c r="I71" t="e">
        <f>AND(#REF!,"AAAAAFtruwg=")</f>
        <v>#REF!</v>
      </c>
      <c r="J71" t="e">
        <f>AND(#REF!,"AAAAAFtruwk=")</f>
        <v>#REF!</v>
      </c>
      <c r="K71" t="e">
        <f>AND(#REF!,"AAAAAFtruwo=")</f>
        <v>#REF!</v>
      </c>
      <c r="L71" t="e">
        <f>AND(#REF!,"AAAAAFtruws=")</f>
        <v>#REF!</v>
      </c>
      <c r="M71" t="e">
        <f>AND(#REF!,"AAAAAFtruww=")</f>
        <v>#REF!</v>
      </c>
      <c r="N71" t="e">
        <f>AND(#REF!,"AAAAAFtruw0=")</f>
        <v>#REF!</v>
      </c>
      <c r="O71" t="e">
        <f>AND(#REF!,"AAAAAFtruw4=")</f>
        <v>#REF!</v>
      </c>
      <c r="P71" t="e">
        <f>AND(#REF!,"AAAAAFtruw8=")</f>
        <v>#REF!</v>
      </c>
      <c r="Q71" t="e">
        <f>AND(#REF!,"AAAAAFtruxA=")</f>
        <v>#REF!</v>
      </c>
      <c r="R71" t="e">
        <f>AND(#REF!,"AAAAAFtruxE=")</f>
        <v>#REF!</v>
      </c>
      <c r="S71" t="e">
        <f>AND(#REF!,"AAAAAFtruxI=")</f>
        <v>#REF!</v>
      </c>
      <c r="T71" t="e">
        <f>AND(#REF!,"AAAAAFtruxM=")</f>
        <v>#REF!</v>
      </c>
      <c r="U71" t="e">
        <f>AND(#REF!,"AAAAAFtruxQ=")</f>
        <v>#REF!</v>
      </c>
      <c r="V71" t="e">
        <f>AND(#REF!,"AAAAAFtruxU=")</f>
        <v>#REF!</v>
      </c>
      <c r="W71" t="e">
        <f>AND(#REF!,"AAAAAFtruxY=")</f>
        <v>#REF!</v>
      </c>
      <c r="X71" t="e">
        <f>IF(#REF!,"AAAAAFtruxc=",0)</f>
        <v>#REF!</v>
      </c>
      <c r="Y71" t="e">
        <f>AND(#REF!,"AAAAAFtruxg=")</f>
        <v>#REF!</v>
      </c>
      <c r="Z71" t="e">
        <f>AND(#REF!,"AAAAAFtruxk=")</f>
        <v>#REF!</v>
      </c>
      <c r="AA71" t="e">
        <f>AND(#REF!,"AAAAAFtruxo=")</f>
        <v>#REF!</v>
      </c>
      <c r="AB71" t="e">
        <f>AND(#REF!,"AAAAAFtruxs=")</f>
        <v>#REF!</v>
      </c>
      <c r="AC71" t="e">
        <f>AND(#REF!,"AAAAAFtruxw=")</f>
        <v>#REF!</v>
      </c>
      <c r="AD71" t="e">
        <f>AND(#REF!,"AAAAAFtrux0=")</f>
        <v>#REF!</v>
      </c>
      <c r="AE71" t="e">
        <f>AND(#REF!,"AAAAAFtrux4=")</f>
        <v>#REF!</v>
      </c>
      <c r="AF71" t="e">
        <f>AND(#REF!,"AAAAAFtrux8=")</f>
        <v>#REF!</v>
      </c>
      <c r="AG71" t="e">
        <f>AND(#REF!,"AAAAAFtruyA=")</f>
        <v>#REF!</v>
      </c>
      <c r="AH71" t="e">
        <f>AND(#REF!,"AAAAAFtruyE=")</f>
        <v>#REF!</v>
      </c>
      <c r="AI71" t="e">
        <f>AND(#REF!,"AAAAAFtruyI=")</f>
        <v>#REF!</v>
      </c>
      <c r="AJ71" t="e">
        <f>AND(#REF!,"AAAAAFtruyM=")</f>
        <v>#REF!</v>
      </c>
      <c r="AK71" t="e">
        <f>AND(#REF!,"AAAAAFtruyQ=")</f>
        <v>#REF!</v>
      </c>
      <c r="AL71" t="e">
        <f>AND(#REF!,"AAAAAFtruyU=")</f>
        <v>#REF!</v>
      </c>
      <c r="AM71" t="e">
        <f>AND(#REF!,"AAAAAFtruyY=")</f>
        <v>#REF!</v>
      </c>
      <c r="AN71" t="e">
        <f>AND(#REF!,"AAAAAFtruyc=")</f>
        <v>#REF!</v>
      </c>
      <c r="AO71" t="e">
        <f>AND(#REF!,"AAAAAFtruyg=")</f>
        <v>#REF!</v>
      </c>
      <c r="AP71" t="e">
        <f>AND(#REF!,"AAAAAFtruyk=")</f>
        <v>#REF!</v>
      </c>
      <c r="AQ71" t="e">
        <f>AND(#REF!,"AAAAAFtruyo=")</f>
        <v>#REF!</v>
      </c>
      <c r="AR71" t="e">
        <f>AND(#REF!,"AAAAAFtruys=")</f>
        <v>#REF!</v>
      </c>
      <c r="AS71" t="e">
        <f>AND(#REF!,"AAAAAFtruyw=")</f>
        <v>#REF!</v>
      </c>
      <c r="AT71" t="e">
        <f>AND(#REF!,"AAAAAFtruy0=")</f>
        <v>#REF!</v>
      </c>
      <c r="AU71" t="e">
        <f>AND(#REF!,"AAAAAFtruy4=")</f>
        <v>#REF!</v>
      </c>
      <c r="AV71" t="e">
        <f>AND(#REF!,"AAAAAFtruy8=")</f>
        <v>#REF!</v>
      </c>
      <c r="AW71" t="e">
        <f>AND(#REF!,"AAAAAFtruzA=")</f>
        <v>#REF!</v>
      </c>
      <c r="AX71" t="e">
        <f>AND(#REF!,"AAAAAFtruzE=")</f>
        <v>#REF!</v>
      </c>
      <c r="AY71" t="e">
        <f>IF(#REF!,"AAAAAFtruzI=",0)</f>
        <v>#REF!</v>
      </c>
      <c r="AZ71" t="e">
        <f>AND(#REF!,"AAAAAFtruzM=")</f>
        <v>#REF!</v>
      </c>
      <c r="BA71" t="e">
        <f>AND(#REF!,"AAAAAFtruzQ=")</f>
        <v>#REF!</v>
      </c>
      <c r="BB71" t="e">
        <f>AND(#REF!,"AAAAAFtruzU=")</f>
        <v>#REF!</v>
      </c>
      <c r="BC71" t="e">
        <f>AND(#REF!,"AAAAAFtruzY=")</f>
        <v>#REF!</v>
      </c>
      <c r="BD71" t="e">
        <f>AND(#REF!,"AAAAAFtruzc=")</f>
        <v>#REF!</v>
      </c>
      <c r="BE71" t="e">
        <f>AND(#REF!,"AAAAAFtruzg=")</f>
        <v>#REF!</v>
      </c>
      <c r="BF71" t="e">
        <f>AND(#REF!,"AAAAAFtruzk=")</f>
        <v>#REF!</v>
      </c>
      <c r="BG71" t="e">
        <f>AND(#REF!,"AAAAAFtruzo=")</f>
        <v>#REF!</v>
      </c>
      <c r="BH71" t="e">
        <f>AND(#REF!,"AAAAAFtruzs=")</f>
        <v>#REF!</v>
      </c>
      <c r="BI71" t="e">
        <f>AND(#REF!,"AAAAAFtruzw=")</f>
        <v>#REF!</v>
      </c>
      <c r="BJ71" t="e">
        <f>AND(#REF!,"AAAAAFtruz0=")</f>
        <v>#REF!</v>
      </c>
      <c r="BK71" t="e">
        <f>AND(#REF!,"AAAAAFtruz4=")</f>
        <v>#REF!</v>
      </c>
      <c r="BL71" t="e">
        <f>AND(#REF!,"AAAAAFtruz8=")</f>
        <v>#REF!</v>
      </c>
      <c r="BM71" t="e">
        <f>AND(#REF!,"AAAAAFtru0A=")</f>
        <v>#REF!</v>
      </c>
      <c r="BN71" t="e">
        <f>AND(#REF!,"AAAAAFtru0E=")</f>
        <v>#REF!</v>
      </c>
      <c r="BO71" t="e">
        <f>AND(#REF!,"AAAAAFtru0I=")</f>
        <v>#REF!</v>
      </c>
      <c r="BP71" t="e">
        <f>AND(#REF!,"AAAAAFtru0M=")</f>
        <v>#REF!</v>
      </c>
      <c r="BQ71" t="e">
        <f>AND(#REF!,"AAAAAFtru0Q=")</f>
        <v>#REF!</v>
      </c>
      <c r="BR71" t="e">
        <f>AND(#REF!,"AAAAAFtru0U=")</f>
        <v>#REF!</v>
      </c>
      <c r="BS71" t="e">
        <f>AND(#REF!,"AAAAAFtru0Y=")</f>
        <v>#REF!</v>
      </c>
      <c r="BT71" t="e">
        <f>AND(#REF!,"AAAAAFtru0c=")</f>
        <v>#REF!</v>
      </c>
      <c r="BU71" t="e">
        <f>AND(#REF!,"AAAAAFtru0g=")</f>
        <v>#REF!</v>
      </c>
      <c r="BV71" t="e">
        <f>AND(#REF!,"AAAAAFtru0k=")</f>
        <v>#REF!</v>
      </c>
      <c r="BW71" t="e">
        <f>AND(#REF!,"AAAAAFtru0o=")</f>
        <v>#REF!</v>
      </c>
      <c r="BX71" t="e">
        <f>AND(#REF!,"AAAAAFtru0s=")</f>
        <v>#REF!</v>
      </c>
      <c r="BY71" t="e">
        <f>AND(#REF!,"AAAAAFtru0w=")</f>
        <v>#REF!</v>
      </c>
      <c r="BZ71" t="e">
        <f>IF(#REF!,"AAAAAFtru00=",0)</f>
        <v>#REF!</v>
      </c>
      <c r="CA71" t="e">
        <f>AND(#REF!,"AAAAAFtru04=")</f>
        <v>#REF!</v>
      </c>
      <c r="CB71" t="e">
        <f>AND(#REF!,"AAAAAFtru08=")</f>
        <v>#REF!</v>
      </c>
      <c r="CC71" t="e">
        <f>AND(#REF!,"AAAAAFtru1A=")</f>
        <v>#REF!</v>
      </c>
      <c r="CD71" t="e">
        <f>AND(#REF!,"AAAAAFtru1E=")</f>
        <v>#REF!</v>
      </c>
      <c r="CE71" t="e">
        <f>AND(#REF!,"AAAAAFtru1I=")</f>
        <v>#REF!</v>
      </c>
      <c r="CF71" t="e">
        <f>AND(#REF!,"AAAAAFtru1M=")</f>
        <v>#REF!</v>
      </c>
      <c r="CG71" t="e">
        <f>AND(#REF!,"AAAAAFtru1Q=")</f>
        <v>#REF!</v>
      </c>
      <c r="CH71" t="e">
        <f>AND(#REF!,"AAAAAFtru1U=")</f>
        <v>#REF!</v>
      </c>
      <c r="CI71" t="e">
        <f>AND(#REF!,"AAAAAFtru1Y=")</f>
        <v>#REF!</v>
      </c>
      <c r="CJ71" t="e">
        <f>AND(#REF!,"AAAAAFtru1c=")</f>
        <v>#REF!</v>
      </c>
      <c r="CK71" t="e">
        <f>AND(#REF!,"AAAAAFtru1g=")</f>
        <v>#REF!</v>
      </c>
      <c r="CL71" t="e">
        <f>AND(#REF!,"AAAAAFtru1k=")</f>
        <v>#REF!</v>
      </c>
      <c r="CM71" t="e">
        <f>AND(#REF!,"AAAAAFtru1o=")</f>
        <v>#REF!</v>
      </c>
      <c r="CN71" t="e">
        <f>AND(#REF!,"AAAAAFtru1s=")</f>
        <v>#REF!</v>
      </c>
      <c r="CO71" t="e">
        <f>AND(#REF!,"AAAAAFtru1w=")</f>
        <v>#REF!</v>
      </c>
      <c r="CP71" t="e">
        <f>AND(#REF!,"AAAAAFtru10=")</f>
        <v>#REF!</v>
      </c>
      <c r="CQ71" t="e">
        <f>AND(#REF!,"AAAAAFtru14=")</f>
        <v>#REF!</v>
      </c>
      <c r="CR71" t="e">
        <f>AND(#REF!,"AAAAAFtru18=")</f>
        <v>#REF!</v>
      </c>
      <c r="CS71" t="e">
        <f>AND(#REF!,"AAAAAFtru2A=")</f>
        <v>#REF!</v>
      </c>
      <c r="CT71" t="e">
        <f>AND(#REF!,"AAAAAFtru2E=")</f>
        <v>#REF!</v>
      </c>
      <c r="CU71" t="e">
        <f>AND(#REF!,"AAAAAFtru2I=")</f>
        <v>#REF!</v>
      </c>
      <c r="CV71" t="e">
        <f>AND(#REF!,"AAAAAFtru2M=")</f>
        <v>#REF!</v>
      </c>
      <c r="CW71" t="e">
        <f>AND(#REF!,"AAAAAFtru2Q=")</f>
        <v>#REF!</v>
      </c>
      <c r="CX71" t="e">
        <f>AND(#REF!,"AAAAAFtru2U=")</f>
        <v>#REF!</v>
      </c>
      <c r="CY71" t="e">
        <f>AND(#REF!,"AAAAAFtru2Y=")</f>
        <v>#REF!</v>
      </c>
      <c r="CZ71" t="e">
        <f>AND(#REF!,"AAAAAFtru2c=")</f>
        <v>#REF!</v>
      </c>
      <c r="DA71" t="e">
        <f>IF(#REF!,"AAAAAFtru2g=",0)</f>
        <v>#REF!</v>
      </c>
      <c r="DB71" t="e">
        <f>AND(#REF!,"AAAAAFtru2k=")</f>
        <v>#REF!</v>
      </c>
      <c r="DC71" t="e">
        <f>AND(#REF!,"AAAAAFtru2o=")</f>
        <v>#REF!</v>
      </c>
      <c r="DD71" t="e">
        <f>AND(#REF!,"AAAAAFtru2s=")</f>
        <v>#REF!</v>
      </c>
      <c r="DE71" t="e">
        <f>AND(#REF!,"AAAAAFtru2w=")</f>
        <v>#REF!</v>
      </c>
      <c r="DF71" t="e">
        <f>AND(#REF!,"AAAAAFtru20=")</f>
        <v>#REF!</v>
      </c>
      <c r="DG71" t="e">
        <f>AND(#REF!,"AAAAAFtru24=")</f>
        <v>#REF!</v>
      </c>
      <c r="DH71" t="e">
        <f>AND(#REF!,"AAAAAFtru28=")</f>
        <v>#REF!</v>
      </c>
      <c r="DI71" t="e">
        <f>AND(#REF!,"AAAAAFtru3A=")</f>
        <v>#REF!</v>
      </c>
      <c r="DJ71" t="e">
        <f>AND(#REF!,"AAAAAFtru3E=")</f>
        <v>#REF!</v>
      </c>
      <c r="DK71" t="e">
        <f>AND(#REF!,"AAAAAFtru3I=")</f>
        <v>#REF!</v>
      </c>
      <c r="DL71" t="e">
        <f>AND(#REF!,"AAAAAFtru3M=")</f>
        <v>#REF!</v>
      </c>
      <c r="DM71" t="e">
        <f>AND(#REF!,"AAAAAFtru3Q=")</f>
        <v>#REF!</v>
      </c>
      <c r="DN71" t="e">
        <f>AND(#REF!,"AAAAAFtru3U=")</f>
        <v>#REF!</v>
      </c>
      <c r="DO71" t="e">
        <f>AND(#REF!,"AAAAAFtru3Y=")</f>
        <v>#REF!</v>
      </c>
      <c r="DP71" t="e">
        <f>AND(#REF!,"AAAAAFtru3c=")</f>
        <v>#REF!</v>
      </c>
      <c r="DQ71" t="e">
        <f>AND(#REF!,"AAAAAFtru3g=")</f>
        <v>#REF!</v>
      </c>
      <c r="DR71" t="e">
        <f>AND(#REF!,"AAAAAFtru3k=")</f>
        <v>#REF!</v>
      </c>
      <c r="DS71" t="e">
        <f>AND(#REF!,"AAAAAFtru3o=")</f>
        <v>#REF!</v>
      </c>
      <c r="DT71" t="e">
        <f>AND(#REF!,"AAAAAFtru3s=")</f>
        <v>#REF!</v>
      </c>
      <c r="DU71" t="e">
        <f>AND(#REF!,"AAAAAFtru3w=")</f>
        <v>#REF!</v>
      </c>
      <c r="DV71" t="e">
        <f>AND(#REF!,"AAAAAFtru30=")</f>
        <v>#REF!</v>
      </c>
      <c r="DW71" t="e">
        <f>AND(#REF!,"AAAAAFtru34=")</f>
        <v>#REF!</v>
      </c>
      <c r="DX71" t="e">
        <f>AND(#REF!,"AAAAAFtru38=")</f>
        <v>#REF!</v>
      </c>
      <c r="DY71" t="e">
        <f>AND(#REF!,"AAAAAFtru4A=")</f>
        <v>#REF!</v>
      </c>
      <c r="DZ71" t="e">
        <f>AND(#REF!,"AAAAAFtru4E=")</f>
        <v>#REF!</v>
      </c>
      <c r="EA71" t="e">
        <f>AND(#REF!,"AAAAAFtru4I=")</f>
        <v>#REF!</v>
      </c>
      <c r="EB71" t="e">
        <f>IF(#REF!,"AAAAAFtru4M=",0)</f>
        <v>#REF!</v>
      </c>
      <c r="EC71" t="e">
        <f>AND(#REF!,"AAAAAFtru4Q=")</f>
        <v>#REF!</v>
      </c>
      <c r="ED71" t="e">
        <f>AND(#REF!,"AAAAAFtru4U=")</f>
        <v>#REF!</v>
      </c>
      <c r="EE71" t="e">
        <f>AND(#REF!,"AAAAAFtru4Y=")</f>
        <v>#REF!</v>
      </c>
      <c r="EF71" t="e">
        <f>AND(#REF!,"AAAAAFtru4c=")</f>
        <v>#REF!</v>
      </c>
      <c r="EG71" t="e">
        <f>AND(#REF!,"AAAAAFtru4g=")</f>
        <v>#REF!</v>
      </c>
      <c r="EH71" t="e">
        <f>AND(#REF!,"AAAAAFtru4k=")</f>
        <v>#REF!</v>
      </c>
      <c r="EI71" t="e">
        <f>AND(#REF!,"AAAAAFtru4o=")</f>
        <v>#REF!</v>
      </c>
      <c r="EJ71" t="e">
        <f>AND(#REF!,"AAAAAFtru4s=")</f>
        <v>#REF!</v>
      </c>
      <c r="EK71" t="e">
        <f>AND(#REF!,"AAAAAFtru4w=")</f>
        <v>#REF!</v>
      </c>
      <c r="EL71" t="e">
        <f>AND(#REF!,"AAAAAFtru40=")</f>
        <v>#REF!</v>
      </c>
      <c r="EM71" t="e">
        <f>AND(#REF!,"AAAAAFtru44=")</f>
        <v>#REF!</v>
      </c>
      <c r="EN71" t="e">
        <f>AND(#REF!,"AAAAAFtru48=")</f>
        <v>#REF!</v>
      </c>
      <c r="EO71" t="e">
        <f>AND(#REF!,"AAAAAFtru5A=")</f>
        <v>#REF!</v>
      </c>
      <c r="EP71" t="e">
        <f>AND(#REF!,"AAAAAFtru5E=")</f>
        <v>#REF!</v>
      </c>
      <c r="EQ71" t="e">
        <f>AND(#REF!,"AAAAAFtru5I=")</f>
        <v>#REF!</v>
      </c>
      <c r="ER71" t="e">
        <f>AND(#REF!,"AAAAAFtru5M=")</f>
        <v>#REF!</v>
      </c>
      <c r="ES71" t="e">
        <f>AND(#REF!,"AAAAAFtru5Q=")</f>
        <v>#REF!</v>
      </c>
      <c r="ET71" t="e">
        <f>AND(#REF!,"AAAAAFtru5U=")</f>
        <v>#REF!</v>
      </c>
      <c r="EU71" t="e">
        <f>AND(#REF!,"AAAAAFtru5Y=")</f>
        <v>#REF!</v>
      </c>
      <c r="EV71" t="e">
        <f>AND(#REF!,"AAAAAFtru5c=")</f>
        <v>#REF!</v>
      </c>
      <c r="EW71" t="e">
        <f>AND(#REF!,"AAAAAFtru5g=")</f>
        <v>#REF!</v>
      </c>
      <c r="EX71" t="e">
        <f>AND(#REF!,"AAAAAFtru5k=")</f>
        <v>#REF!</v>
      </c>
      <c r="EY71" t="e">
        <f>AND(#REF!,"AAAAAFtru5o=")</f>
        <v>#REF!</v>
      </c>
      <c r="EZ71" t="e">
        <f>AND(#REF!,"AAAAAFtru5s=")</f>
        <v>#REF!</v>
      </c>
      <c r="FA71" t="e">
        <f>AND(#REF!,"AAAAAFtru5w=")</f>
        <v>#REF!</v>
      </c>
      <c r="FB71" t="e">
        <f>AND(#REF!,"AAAAAFtru50=")</f>
        <v>#REF!</v>
      </c>
      <c r="FC71" t="e">
        <f>IF(#REF!,"AAAAAFtru54=",0)</f>
        <v>#REF!</v>
      </c>
      <c r="FD71" t="e">
        <f>AND(#REF!,"AAAAAFtru58=")</f>
        <v>#REF!</v>
      </c>
      <c r="FE71" t="e">
        <f>AND(#REF!,"AAAAAFtru6A=")</f>
        <v>#REF!</v>
      </c>
      <c r="FF71" t="e">
        <f>AND(#REF!,"AAAAAFtru6E=")</f>
        <v>#REF!</v>
      </c>
      <c r="FG71" t="e">
        <f>AND(#REF!,"AAAAAFtru6I=")</f>
        <v>#REF!</v>
      </c>
      <c r="FH71" t="e">
        <f>AND(#REF!,"AAAAAFtru6M=")</f>
        <v>#REF!</v>
      </c>
      <c r="FI71" t="e">
        <f>AND(#REF!,"AAAAAFtru6Q=")</f>
        <v>#REF!</v>
      </c>
      <c r="FJ71" t="e">
        <f>AND(#REF!,"AAAAAFtru6U=")</f>
        <v>#REF!</v>
      </c>
      <c r="FK71" t="e">
        <f>AND(#REF!,"AAAAAFtru6Y=")</f>
        <v>#REF!</v>
      </c>
      <c r="FL71" t="e">
        <f>AND(#REF!,"AAAAAFtru6c=")</f>
        <v>#REF!</v>
      </c>
      <c r="FM71" t="e">
        <f>AND(#REF!,"AAAAAFtru6g=")</f>
        <v>#REF!</v>
      </c>
      <c r="FN71" t="e">
        <f>AND(#REF!,"AAAAAFtru6k=")</f>
        <v>#REF!</v>
      </c>
      <c r="FO71" t="e">
        <f>AND(#REF!,"AAAAAFtru6o=")</f>
        <v>#REF!</v>
      </c>
      <c r="FP71" t="e">
        <f>AND(#REF!,"AAAAAFtru6s=")</f>
        <v>#REF!</v>
      </c>
      <c r="FQ71" t="e">
        <f>AND(#REF!,"AAAAAFtru6w=")</f>
        <v>#REF!</v>
      </c>
      <c r="FR71" t="e">
        <f>AND(#REF!,"AAAAAFtru60=")</f>
        <v>#REF!</v>
      </c>
      <c r="FS71" t="e">
        <f>AND(#REF!,"AAAAAFtru64=")</f>
        <v>#REF!</v>
      </c>
      <c r="FT71" t="e">
        <f>AND(#REF!,"AAAAAFtru68=")</f>
        <v>#REF!</v>
      </c>
      <c r="FU71" t="e">
        <f>AND(#REF!,"AAAAAFtru7A=")</f>
        <v>#REF!</v>
      </c>
      <c r="FV71" t="e">
        <f>AND(#REF!,"AAAAAFtru7E=")</f>
        <v>#REF!</v>
      </c>
      <c r="FW71" t="e">
        <f>AND(#REF!,"AAAAAFtru7I=")</f>
        <v>#REF!</v>
      </c>
      <c r="FX71" t="e">
        <f>AND(#REF!,"AAAAAFtru7M=")</f>
        <v>#REF!</v>
      </c>
      <c r="FY71" t="e">
        <f>AND(#REF!,"AAAAAFtru7Q=")</f>
        <v>#REF!</v>
      </c>
      <c r="FZ71" t="e">
        <f>AND(#REF!,"AAAAAFtru7U=")</f>
        <v>#REF!</v>
      </c>
      <c r="GA71" t="e">
        <f>AND(#REF!,"AAAAAFtru7Y=")</f>
        <v>#REF!</v>
      </c>
      <c r="GB71" t="e">
        <f>AND(#REF!,"AAAAAFtru7c=")</f>
        <v>#REF!</v>
      </c>
      <c r="GC71" t="e">
        <f>AND(#REF!,"AAAAAFtru7g=")</f>
        <v>#REF!</v>
      </c>
      <c r="GD71" t="e">
        <f>IF(#REF!,"AAAAAFtru7k=",0)</f>
        <v>#REF!</v>
      </c>
      <c r="GE71" t="e">
        <f>AND(#REF!,"AAAAAFtru7o=")</f>
        <v>#REF!</v>
      </c>
      <c r="GF71" t="e">
        <f>AND(#REF!,"AAAAAFtru7s=")</f>
        <v>#REF!</v>
      </c>
      <c r="GG71" t="e">
        <f>AND(#REF!,"AAAAAFtru7w=")</f>
        <v>#REF!</v>
      </c>
      <c r="GH71" t="e">
        <f>AND(#REF!,"AAAAAFtru70=")</f>
        <v>#REF!</v>
      </c>
      <c r="GI71" t="e">
        <f>AND(#REF!,"AAAAAFtru74=")</f>
        <v>#REF!</v>
      </c>
      <c r="GJ71" t="e">
        <f>AND(#REF!,"AAAAAFtru78=")</f>
        <v>#REF!</v>
      </c>
      <c r="GK71" t="e">
        <f>AND(#REF!,"AAAAAFtru8A=")</f>
        <v>#REF!</v>
      </c>
      <c r="GL71" t="e">
        <f>AND(#REF!,"AAAAAFtru8E=")</f>
        <v>#REF!</v>
      </c>
      <c r="GM71" t="e">
        <f>AND(#REF!,"AAAAAFtru8I=")</f>
        <v>#REF!</v>
      </c>
      <c r="GN71" t="e">
        <f>AND(#REF!,"AAAAAFtru8M=")</f>
        <v>#REF!</v>
      </c>
      <c r="GO71" t="e">
        <f>AND(#REF!,"AAAAAFtru8Q=")</f>
        <v>#REF!</v>
      </c>
      <c r="GP71" t="e">
        <f>AND(#REF!,"AAAAAFtru8U=")</f>
        <v>#REF!</v>
      </c>
      <c r="GQ71" t="e">
        <f>AND(#REF!,"AAAAAFtru8Y=")</f>
        <v>#REF!</v>
      </c>
      <c r="GR71" t="e">
        <f>AND(#REF!,"AAAAAFtru8c=")</f>
        <v>#REF!</v>
      </c>
      <c r="GS71" t="e">
        <f>AND(#REF!,"AAAAAFtru8g=")</f>
        <v>#REF!</v>
      </c>
      <c r="GT71" t="e">
        <f>AND(#REF!,"AAAAAFtru8k=")</f>
        <v>#REF!</v>
      </c>
      <c r="GU71" t="e">
        <f>AND(#REF!,"AAAAAFtru8o=")</f>
        <v>#REF!</v>
      </c>
      <c r="GV71" t="e">
        <f>AND(#REF!,"AAAAAFtru8s=")</f>
        <v>#REF!</v>
      </c>
      <c r="GW71" t="e">
        <f>AND(#REF!,"AAAAAFtru8w=")</f>
        <v>#REF!</v>
      </c>
      <c r="GX71" t="e">
        <f>AND(#REF!,"AAAAAFtru80=")</f>
        <v>#REF!</v>
      </c>
      <c r="GY71" t="e">
        <f>AND(#REF!,"AAAAAFtru84=")</f>
        <v>#REF!</v>
      </c>
      <c r="GZ71" t="e">
        <f>AND(#REF!,"AAAAAFtru88=")</f>
        <v>#REF!</v>
      </c>
      <c r="HA71" t="e">
        <f>AND(#REF!,"AAAAAFtru9A=")</f>
        <v>#REF!</v>
      </c>
      <c r="HB71" t="e">
        <f>AND(#REF!,"AAAAAFtru9E=")</f>
        <v>#REF!</v>
      </c>
      <c r="HC71" t="e">
        <f>AND(#REF!,"AAAAAFtru9I=")</f>
        <v>#REF!</v>
      </c>
      <c r="HD71" t="e">
        <f>AND(#REF!,"AAAAAFtru9M=")</f>
        <v>#REF!</v>
      </c>
      <c r="HE71" t="e">
        <f>IF(#REF!,"AAAAAFtru9Q=",0)</f>
        <v>#REF!</v>
      </c>
      <c r="HF71" t="e">
        <f>AND(#REF!,"AAAAAFtru9U=")</f>
        <v>#REF!</v>
      </c>
      <c r="HG71" t="e">
        <f>AND(#REF!,"AAAAAFtru9Y=")</f>
        <v>#REF!</v>
      </c>
      <c r="HH71" t="e">
        <f>AND(#REF!,"AAAAAFtru9c=")</f>
        <v>#REF!</v>
      </c>
      <c r="HI71" t="e">
        <f>AND(#REF!,"AAAAAFtru9g=")</f>
        <v>#REF!</v>
      </c>
      <c r="HJ71" t="e">
        <f>AND(#REF!,"AAAAAFtru9k=")</f>
        <v>#REF!</v>
      </c>
      <c r="HK71" t="e">
        <f>AND(#REF!,"AAAAAFtru9o=")</f>
        <v>#REF!</v>
      </c>
      <c r="HL71" t="e">
        <f>AND(#REF!,"AAAAAFtru9s=")</f>
        <v>#REF!</v>
      </c>
      <c r="HM71" t="e">
        <f>AND(#REF!,"AAAAAFtru9w=")</f>
        <v>#REF!</v>
      </c>
      <c r="HN71" t="e">
        <f>AND(#REF!,"AAAAAFtru90=")</f>
        <v>#REF!</v>
      </c>
      <c r="HO71" t="e">
        <f>AND(#REF!,"AAAAAFtru94=")</f>
        <v>#REF!</v>
      </c>
      <c r="HP71" t="e">
        <f>AND(#REF!,"AAAAAFtru98=")</f>
        <v>#REF!</v>
      </c>
      <c r="HQ71" t="e">
        <f>AND(#REF!,"AAAAAFtru+A=")</f>
        <v>#REF!</v>
      </c>
      <c r="HR71" t="e">
        <f>AND(#REF!,"AAAAAFtru+E=")</f>
        <v>#REF!</v>
      </c>
      <c r="HS71" t="e">
        <f>AND(#REF!,"AAAAAFtru+I=")</f>
        <v>#REF!</v>
      </c>
      <c r="HT71" t="e">
        <f>AND(#REF!,"AAAAAFtru+M=")</f>
        <v>#REF!</v>
      </c>
      <c r="HU71" t="e">
        <f>AND(#REF!,"AAAAAFtru+Q=")</f>
        <v>#REF!</v>
      </c>
      <c r="HV71" t="e">
        <f>AND(#REF!,"AAAAAFtru+U=")</f>
        <v>#REF!</v>
      </c>
      <c r="HW71" t="e">
        <f>AND(#REF!,"AAAAAFtru+Y=")</f>
        <v>#REF!</v>
      </c>
      <c r="HX71" t="e">
        <f>AND(#REF!,"AAAAAFtru+c=")</f>
        <v>#REF!</v>
      </c>
      <c r="HY71" t="e">
        <f>AND(#REF!,"AAAAAFtru+g=")</f>
        <v>#REF!</v>
      </c>
      <c r="HZ71" t="e">
        <f>AND(#REF!,"AAAAAFtru+k=")</f>
        <v>#REF!</v>
      </c>
      <c r="IA71" t="e">
        <f>AND(#REF!,"AAAAAFtru+o=")</f>
        <v>#REF!</v>
      </c>
      <c r="IB71" t="e">
        <f>AND(#REF!,"AAAAAFtru+s=")</f>
        <v>#REF!</v>
      </c>
      <c r="IC71" t="e">
        <f>AND(#REF!,"AAAAAFtru+w=")</f>
        <v>#REF!</v>
      </c>
      <c r="ID71" t="e">
        <f>AND(#REF!,"AAAAAFtru+0=")</f>
        <v>#REF!</v>
      </c>
      <c r="IE71" t="e">
        <f>AND(#REF!,"AAAAAFtru+4=")</f>
        <v>#REF!</v>
      </c>
      <c r="IF71" t="e">
        <f>IF(#REF!,"AAAAAFtru+8=",0)</f>
        <v>#REF!</v>
      </c>
      <c r="IG71" t="e">
        <f>AND(#REF!,"AAAAAFtru/A=")</f>
        <v>#REF!</v>
      </c>
      <c r="IH71" t="e">
        <f>AND(#REF!,"AAAAAFtru/E=")</f>
        <v>#REF!</v>
      </c>
      <c r="II71" t="e">
        <f>AND(#REF!,"AAAAAFtru/I=")</f>
        <v>#REF!</v>
      </c>
      <c r="IJ71" t="e">
        <f>AND(#REF!,"AAAAAFtru/M=")</f>
        <v>#REF!</v>
      </c>
      <c r="IK71" t="e">
        <f>AND(#REF!,"AAAAAFtru/Q=")</f>
        <v>#REF!</v>
      </c>
      <c r="IL71" t="e">
        <f>AND(#REF!,"AAAAAFtru/U=")</f>
        <v>#REF!</v>
      </c>
      <c r="IM71" t="e">
        <f>AND(#REF!,"AAAAAFtru/Y=")</f>
        <v>#REF!</v>
      </c>
      <c r="IN71" t="e">
        <f>AND(#REF!,"AAAAAFtru/c=")</f>
        <v>#REF!</v>
      </c>
      <c r="IO71" t="e">
        <f>AND(#REF!,"AAAAAFtru/g=")</f>
        <v>#REF!</v>
      </c>
      <c r="IP71" t="e">
        <f>AND(#REF!,"AAAAAFtru/k=")</f>
        <v>#REF!</v>
      </c>
      <c r="IQ71" t="e">
        <f>AND(#REF!,"AAAAAFtru/o=")</f>
        <v>#REF!</v>
      </c>
      <c r="IR71" t="e">
        <f>AND(#REF!,"AAAAAFtru/s=")</f>
        <v>#REF!</v>
      </c>
      <c r="IS71" t="e">
        <f>AND(#REF!,"AAAAAFtru/w=")</f>
        <v>#REF!</v>
      </c>
      <c r="IT71" t="e">
        <f>AND(#REF!,"AAAAAFtru/0=")</f>
        <v>#REF!</v>
      </c>
      <c r="IU71" t="e">
        <f>AND(#REF!,"AAAAAFtru/4=")</f>
        <v>#REF!</v>
      </c>
      <c r="IV71" t="e">
        <f>AND(#REF!,"AAAAAFtru/8=")</f>
        <v>#REF!</v>
      </c>
    </row>
    <row r="72" spans="1:256" x14ac:dyDescent="0.2">
      <c r="A72" t="e">
        <f>AND(#REF!,"AAAAAH/7/gA=")</f>
        <v>#REF!</v>
      </c>
      <c r="B72" t="e">
        <f>AND(#REF!,"AAAAAH/7/gE=")</f>
        <v>#REF!</v>
      </c>
      <c r="C72" t="e">
        <f>AND(#REF!,"AAAAAH/7/gI=")</f>
        <v>#REF!</v>
      </c>
      <c r="D72" t="e">
        <f>AND(#REF!,"AAAAAH/7/gM=")</f>
        <v>#REF!</v>
      </c>
      <c r="E72" t="e">
        <f>AND(#REF!,"AAAAAH/7/gQ=")</f>
        <v>#REF!</v>
      </c>
      <c r="F72" t="e">
        <f>AND(#REF!,"AAAAAH/7/gU=")</f>
        <v>#REF!</v>
      </c>
      <c r="G72" t="e">
        <f>AND(#REF!,"AAAAAH/7/gY=")</f>
        <v>#REF!</v>
      </c>
      <c r="H72" t="e">
        <f>AND(#REF!,"AAAAAH/7/gc=")</f>
        <v>#REF!</v>
      </c>
      <c r="I72" t="e">
        <f>AND(#REF!,"AAAAAH/7/gg=")</f>
        <v>#REF!</v>
      </c>
      <c r="J72" t="e">
        <f>AND(#REF!,"AAAAAH/7/gk=")</f>
        <v>#REF!</v>
      </c>
      <c r="K72" t="e">
        <f>IF(#REF!,"AAAAAH/7/go=",0)</f>
        <v>#REF!</v>
      </c>
      <c r="L72" t="e">
        <f>AND(#REF!,"AAAAAH/7/gs=")</f>
        <v>#REF!</v>
      </c>
      <c r="M72" t="e">
        <f>AND(#REF!,"AAAAAH/7/gw=")</f>
        <v>#REF!</v>
      </c>
      <c r="N72" t="e">
        <f>AND(#REF!,"AAAAAH/7/g0=")</f>
        <v>#REF!</v>
      </c>
      <c r="O72" t="e">
        <f>AND(#REF!,"AAAAAH/7/g4=")</f>
        <v>#REF!</v>
      </c>
      <c r="P72" t="e">
        <f>AND(#REF!,"AAAAAH/7/g8=")</f>
        <v>#REF!</v>
      </c>
      <c r="Q72" t="e">
        <f>AND(#REF!,"AAAAAH/7/hA=")</f>
        <v>#REF!</v>
      </c>
      <c r="R72" t="e">
        <f>AND(#REF!,"AAAAAH/7/hE=")</f>
        <v>#REF!</v>
      </c>
      <c r="S72" t="e">
        <f>AND(#REF!,"AAAAAH/7/hI=")</f>
        <v>#REF!</v>
      </c>
      <c r="T72" t="e">
        <f>AND(#REF!,"AAAAAH/7/hM=")</f>
        <v>#REF!</v>
      </c>
      <c r="U72" t="e">
        <f>AND(#REF!,"AAAAAH/7/hQ=")</f>
        <v>#REF!</v>
      </c>
      <c r="V72" t="e">
        <f>AND(#REF!,"AAAAAH/7/hU=")</f>
        <v>#REF!</v>
      </c>
      <c r="W72" t="e">
        <f>AND(#REF!,"AAAAAH/7/hY=")</f>
        <v>#REF!</v>
      </c>
      <c r="X72" t="e">
        <f>AND(#REF!,"AAAAAH/7/hc=")</f>
        <v>#REF!</v>
      </c>
      <c r="Y72" t="e">
        <f>AND(#REF!,"AAAAAH/7/hg=")</f>
        <v>#REF!</v>
      </c>
      <c r="Z72" t="e">
        <f>AND(#REF!,"AAAAAH/7/hk=")</f>
        <v>#REF!</v>
      </c>
      <c r="AA72" t="e">
        <f>AND(#REF!,"AAAAAH/7/ho=")</f>
        <v>#REF!</v>
      </c>
      <c r="AB72" t="e">
        <f>AND(#REF!,"AAAAAH/7/hs=")</f>
        <v>#REF!</v>
      </c>
      <c r="AC72" t="e">
        <f>AND(#REF!,"AAAAAH/7/hw=")</f>
        <v>#REF!</v>
      </c>
      <c r="AD72" t="e">
        <f>AND(#REF!,"AAAAAH/7/h0=")</f>
        <v>#REF!</v>
      </c>
      <c r="AE72" t="e">
        <f>AND(#REF!,"AAAAAH/7/h4=")</f>
        <v>#REF!</v>
      </c>
      <c r="AF72" t="e">
        <f>AND(#REF!,"AAAAAH/7/h8=")</f>
        <v>#REF!</v>
      </c>
      <c r="AG72" t="e">
        <f>AND(#REF!,"AAAAAH/7/iA=")</f>
        <v>#REF!</v>
      </c>
      <c r="AH72" t="e">
        <f>AND(#REF!,"AAAAAH/7/iE=")</f>
        <v>#REF!</v>
      </c>
      <c r="AI72" t="e">
        <f>AND(#REF!,"AAAAAH/7/iI=")</f>
        <v>#REF!</v>
      </c>
      <c r="AJ72" t="e">
        <f>AND(#REF!,"AAAAAH/7/iM=")</f>
        <v>#REF!</v>
      </c>
      <c r="AK72" t="e">
        <f>AND(#REF!,"AAAAAH/7/iQ=")</f>
        <v>#REF!</v>
      </c>
      <c r="AL72" t="e">
        <f>IF(#REF!,"AAAAAH/7/iU=",0)</f>
        <v>#REF!</v>
      </c>
      <c r="AM72" t="e">
        <f>IF(#REF!,"AAAAAH/7/iY=",0)</f>
        <v>#REF!</v>
      </c>
      <c r="AN72" t="e">
        <f>IF(#REF!,"AAAAAH/7/ic=",0)</f>
        <v>#REF!</v>
      </c>
      <c r="AO72" t="e">
        <f>IF(#REF!,"AAAAAH/7/ig=",0)</f>
        <v>#REF!</v>
      </c>
      <c r="AP72" t="e">
        <f>IF(#REF!,"AAAAAH/7/ik=",0)</f>
        <v>#REF!</v>
      </c>
      <c r="AQ72" t="e">
        <f>IF(#REF!,"AAAAAH/7/io=",0)</f>
        <v>#REF!</v>
      </c>
      <c r="AR72" t="e">
        <f>IF(#REF!,"AAAAAH/7/is=",0)</f>
        <v>#REF!</v>
      </c>
      <c r="AS72" t="e">
        <f>IF(#REF!,"AAAAAH/7/iw=",0)</f>
        <v>#REF!</v>
      </c>
      <c r="AT72" t="e">
        <f>IF(#REF!,"AAAAAH/7/i0=",0)</f>
        <v>#REF!</v>
      </c>
      <c r="AU72" t="e">
        <f>IF(#REF!,"AAAAAH/7/i4=",0)</f>
        <v>#REF!</v>
      </c>
      <c r="AV72" t="e">
        <f>IF(#REF!,"AAAAAH/7/i8=",0)</f>
        <v>#REF!</v>
      </c>
      <c r="AW72" t="e">
        <f>IF(#REF!,"AAAAAH/7/jA=",0)</f>
        <v>#REF!</v>
      </c>
      <c r="AX72" t="e">
        <f>IF(#REF!,"AAAAAH/7/jE=",0)</f>
        <v>#REF!</v>
      </c>
      <c r="AY72" t="e">
        <f>IF(#REF!,"AAAAAH/7/jI=",0)</f>
        <v>#REF!</v>
      </c>
      <c r="AZ72" t="e">
        <f>IF(#REF!,"AAAAAH/7/jM=",0)</f>
        <v>#REF!</v>
      </c>
      <c r="BA72" t="e">
        <f>IF(#REF!,"AAAAAH/7/jQ=",0)</f>
        <v>#REF!</v>
      </c>
      <c r="BB72" t="e">
        <f>IF(#REF!,"AAAAAH/7/jU=",0)</f>
        <v>#REF!</v>
      </c>
      <c r="BC72" t="e">
        <f>IF(#REF!,"AAAAAH/7/jY=",0)</f>
        <v>#REF!</v>
      </c>
      <c r="BD72" t="e">
        <f>IF(#REF!,"AAAAAH/7/jc=",0)</f>
        <v>#REF!</v>
      </c>
      <c r="BE72" t="e">
        <f>IF(#REF!,"AAAAAH/7/jg=",0)</f>
        <v>#REF!</v>
      </c>
      <c r="BF72" t="e">
        <f>IF(#REF!,"AAAAAH/7/jk=",0)</f>
        <v>#REF!</v>
      </c>
      <c r="BG72" t="e">
        <f>IF(#REF!,"AAAAAH/7/jo=",0)</f>
        <v>#REF!</v>
      </c>
      <c r="BH72" t="e">
        <f>IF(#REF!,"AAAAAH/7/js=",0)</f>
        <v>#REF!</v>
      </c>
      <c r="BI72" t="e">
        <f>IF(#REF!,"AAAAAH/7/jw=",0)</f>
        <v>#REF!</v>
      </c>
      <c r="BJ72" t="e">
        <f>IF(#REF!,"AAAAAH/7/j0=",0)</f>
        <v>#REF!</v>
      </c>
      <c r="BK72" t="e">
        <f>IF(#REF!,"AAAAAH/7/j4=",0)</f>
        <v>#REF!</v>
      </c>
      <c r="BL72" t="e">
        <f>IF(#REF!,"AAAAAH/7/j8=",0)</f>
        <v>#REF!</v>
      </c>
      <c r="BM72" t="e">
        <f>AND(#REF!,"AAAAAH/7/kA=")</f>
        <v>#REF!</v>
      </c>
      <c r="BN72" t="e">
        <f>AND(#REF!,"AAAAAH/7/kE=")</f>
        <v>#REF!</v>
      </c>
      <c r="BO72" t="e">
        <f>AND(#REF!,"AAAAAH/7/kI=")</f>
        <v>#REF!</v>
      </c>
      <c r="BP72" t="e">
        <f>AND(#REF!,"AAAAAH/7/kM=")</f>
        <v>#REF!</v>
      </c>
      <c r="BQ72" t="e">
        <f>AND(#REF!,"AAAAAH/7/kQ=")</f>
        <v>#REF!</v>
      </c>
      <c r="BR72" t="e">
        <f>AND(#REF!,"AAAAAH/7/kU=")</f>
        <v>#REF!</v>
      </c>
      <c r="BS72" t="e">
        <f>AND(#REF!,"AAAAAH/7/kY=")</f>
        <v>#REF!</v>
      </c>
      <c r="BT72" t="e">
        <f>AND(#REF!,"AAAAAH/7/kc=")</f>
        <v>#REF!</v>
      </c>
      <c r="BU72" t="e">
        <f>AND(#REF!,"AAAAAH/7/kg=")</f>
        <v>#REF!</v>
      </c>
      <c r="BV72" t="e">
        <f>AND(#REF!,"AAAAAH/7/kk=")</f>
        <v>#REF!</v>
      </c>
      <c r="BW72" t="e">
        <f>AND(#REF!,"AAAAAH/7/ko=")</f>
        <v>#REF!</v>
      </c>
      <c r="BX72" t="e">
        <f>AND(#REF!,"AAAAAH/7/ks=")</f>
        <v>#REF!</v>
      </c>
      <c r="BY72" t="e">
        <f>AND(#REF!,"AAAAAH/7/kw=")</f>
        <v>#REF!</v>
      </c>
      <c r="BZ72" t="e">
        <f>AND(#REF!,"AAAAAH/7/k0=")</f>
        <v>#REF!</v>
      </c>
      <c r="CA72" t="e">
        <f>AND(#REF!,"AAAAAH/7/k4=")</f>
        <v>#REF!</v>
      </c>
      <c r="CB72" t="e">
        <f>AND(#REF!,"AAAAAH/7/k8=")</f>
        <v>#REF!</v>
      </c>
      <c r="CC72" t="e">
        <f>AND(#REF!,"AAAAAH/7/lA=")</f>
        <v>#REF!</v>
      </c>
      <c r="CD72" t="e">
        <f>AND(#REF!,"AAAAAH/7/lE=")</f>
        <v>#REF!</v>
      </c>
      <c r="CE72" t="e">
        <f>AND(#REF!,"AAAAAH/7/lI=")</f>
        <v>#REF!</v>
      </c>
      <c r="CF72" t="e">
        <f>AND(#REF!,"AAAAAH/7/lM=")</f>
        <v>#REF!</v>
      </c>
      <c r="CG72" t="e">
        <f>AND(#REF!,"AAAAAH/7/lQ=")</f>
        <v>#REF!</v>
      </c>
      <c r="CH72" t="e">
        <f>AND(#REF!,"AAAAAH/7/lU=")</f>
        <v>#REF!</v>
      </c>
      <c r="CI72" t="e">
        <f>AND(#REF!,"AAAAAH/7/lY=")</f>
        <v>#REF!</v>
      </c>
      <c r="CJ72" t="e">
        <f>AND(#REF!,"AAAAAH/7/lc=")</f>
        <v>#REF!</v>
      </c>
      <c r="CK72" t="e">
        <f>AND(#REF!,"AAAAAH/7/lg=")</f>
        <v>#REF!</v>
      </c>
      <c r="CL72" t="e">
        <f>AND(#REF!,"AAAAAH/7/lk=")</f>
        <v>#REF!</v>
      </c>
      <c r="CM72" t="e">
        <f>IF(#REF!,"AAAAAH/7/lo=",0)</f>
        <v>#REF!</v>
      </c>
      <c r="CN72" t="e">
        <f>AND(#REF!,"AAAAAH/7/ls=")</f>
        <v>#REF!</v>
      </c>
      <c r="CO72" t="e">
        <f>AND(#REF!,"AAAAAH/7/lw=")</f>
        <v>#REF!</v>
      </c>
      <c r="CP72" t="e">
        <f>AND(#REF!,"AAAAAH/7/l0=")</f>
        <v>#REF!</v>
      </c>
      <c r="CQ72" t="e">
        <f>AND(#REF!,"AAAAAH/7/l4=")</f>
        <v>#REF!</v>
      </c>
      <c r="CR72" t="e">
        <f>AND(#REF!,"AAAAAH/7/l8=")</f>
        <v>#REF!</v>
      </c>
      <c r="CS72" t="e">
        <f>AND(#REF!,"AAAAAH/7/mA=")</f>
        <v>#REF!</v>
      </c>
      <c r="CT72" t="e">
        <f>AND(#REF!,"AAAAAH/7/mE=")</f>
        <v>#REF!</v>
      </c>
      <c r="CU72" t="e">
        <f>AND(#REF!,"AAAAAH/7/mI=")</f>
        <v>#REF!</v>
      </c>
      <c r="CV72" t="e">
        <f>AND(#REF!,"AAAAAH/7/mM=")</f>
        <v>#REF!</v>
      </c>
      <c r="CW72" t="e">
        <f>AND(#REF!,"AAAAAH/7/mQ=")</f>
        <v>#REF!</v>
      </c>
      <c r="CX72" t="e">
        <f>AND(#REF!,"AAAAAH/7/mU=")</f>
        <v>#REF!</v>
      </c>
      <c r="CY72" t="e">
        <f>AND(#REF!,"AAAAAH/7/mY=")</f>
        <v>#REF!</v>
      </c>
      <c r="CZ72" t="e">
        <f>AND(#REF!,"AAAAAH/7/mc=")</f>
        <v>#REF!</v>
      </c>
      <c r="DA72" t="e">
        <f>AND(#REF!,"AAAAAH/7/mg=")</f>
        <v>#REF!</v>
      </c>
      <c r="DB72" t="e">
        <f>AND(#REF!,"AAAAAH/7/mk=")</f>
        <v>#REF!</v>
      </c>
      <c r="DC72" t="e">
        <f>AND(#REF!,"AAAAAH/7/mo=")</f>
        <v>#REF!</v>
      </c>
      <c r="DD72" t="e">
        <f>AND(#REF!,"AAAAAH/7/ms=")</f>
        <v>#REF!</v>
      </c>
      <c r="DE72" t="e">
        <f>AND(#REF!,"AAAAAH/7/mw=")</f>
        <v>#REF!</v>
      </c>
      <c r="DF72" t="e">
        <f>AND(#REF!,"AAAAAH/7/m0=")</f>
        <v>#REF!</v>
      </c>
      <c r="DG72" t="e">
        <f>AND(#REF!,"AAAAAH/7/m4=")</f>
        <v>#REF!</v>
      </c>
      <c r="DH72" t="e">
        <f>AND(#REF!,"AAAAAH/7/m8=")</f>
        <v>#REF!</v>
      </c>
      <c r="DI72" t="e">
        <f>AND(#REF!,"AAAAAH/7/nA=")</f>
        <v>#REF!</v>
      </c>
      <c r="DJ72" t="e">
        <f>AND(#REF!,"AAAAAH/7/nE=")</f>
        <v>#REF!</v>
      </c>
      <c r="DK72" t="e">
        <f>AND(#REF!,"AAAAAH/7/nI=")</f>
        <v>#REF!</v>
      </c>
      <c r="DL72" t="e">
        <f>AND(#REF!,"AAAAAH/7/nM=")</f>
        <v>#REF!</v>
      </c>
      <c r="DM72" t="e">
        <f>AND(#REF!,"AAAAAH/7/nQ=")</f>
        <v>#REF!</v>
      </c>
      <c r="DN72" t="e">
        <f>IF(#REF!,"AAAAAH/7/nU=",0)</f>
        <v>#REF!</v>
      </c>
      <c r="DO72" t="e">
        <f>AND(#REF!,"AAAAAH/7/nY=")</f>
        <v>#REF!</v>
      </c>
      <c r="DP72" t="e">
        <f>AND(#REF!,"AAAAAH/7/nc=")</f>
        <v>#REF!</v>
      </c>
      <c r="DQ72" t="e">
        <f>AND(#REF!,"AAAAAH/7/ng=")</f>
        <v>#REF!</v>
      </c>
      <c r="DR72" t="e">
        <f>AND(#REF!,"AAAAAH/7/nk=")</f>
        <v>#REF!</v>
      </c>
      <c r="DS72" t="e">
        <f>AND(#REF!,"AAAAAH/7/no=")</f>
        <v>#REF!</v>
      </c>
      <c r="DT72" t="e">
        <f>AND(#REF!,"AAAAAH/7/ns=")</f>
        <v>#REF!</v>
      </c>
      <c r="DU72" t="e">
        <f>AND(#REF!,"AAAAAH/7/nw=")</f>
        <v>#REF!</v>
      </c>
      <c r="DV72" t="e">
        <f>AND(#REF!,"AAAAAH/7/n0=")</f>
        <v>#REF!</v>
      </c>
      <c r="DW72" t="e">
        <f>AND(#REF!,"AAAAAH/7/n4=")</f>
        <v>#REF!</v>
      </c>
      <c r="DX72" t="e">
        <f>AND(#REF!,"AAAAAH/7/n8=")</f>
        <v>#REF!</v>
      </c>
      <c r="DY72" t="e">
        <f>AND(#REF!,"AAAAAH/7/oA=")</f>
        <v>#REF!</v>
      </c>
      <c r="DZ72" t="e">
        <f>AND(#REF!,"AAAAAH/7/oE=")</f>
        <v>#REF!</v>
      </c>
      <c r="EA72" t="e">
        <f>AND(#REF!,"AAAAAH/7/oI=")</f>
        <v>#REF!</v>
      </c>
      <c r="EB72" t="e">
        <f>AND(#REF!,"AAAAAH/7/oM=")</f>
        <v>#REF!</v>
      </c>
      <c r="EC72" t="e">
        <f>AND(#REF!,"AAAAAH/7/oQ=")</f>
        <v>#REF!</v>
      </c>
      <c r="ED72" t="e">
        <f>AND(#REF!,"AAAAAH/7/oU=")</f>
        <v>#REF!</v>
      </c>
      <c r="EE72" t="e">
        <f>AND(#REF!,"AAAAAH/7/oY=")</f>
        <v>#REF!</v>
      </c>
      <c r="EF72" t="e">
        <f>AND(#REF!,"AAAAAH/7/oc=")</f>
        <v>#REF!</v>
      </c>
      <c r="EG72" t="e">
        <f>AND(#REF!,"AAAAAH/7/og=")</f>
        <v>#REF!</v>
      </c>
      <c r="EH72" t="e">
        <f>AND(#REF!,"AAAAAH/7/ok=")</f>
        <v>#REF!</v>
      </c>
      <c r="EI72" t="e">
        <f>AND(#REF!,"AAAAAH/7/oo=")</f>
        <v>#REF!</v>
      </c>
      <c r="EJ72" t="e">
        <f>AND(#REF!,"AAAAAH/7/os=")</f>
        <v>#REF!</v>
      </c>
      <c r="EK72" t="e">
        <f>AND(#REF!,"AAAAAH/7/ow=")</f>
        <v>#REF!</v>
      </c>
      <c r="EL72" t="e">
        <f>AND(#REF!,"AAAAAH/7/o0=")</f>
        <v>#REF!</v>
      </c>
      <c r="EM72" t="e">
        <f>AND(#REF!,"AAAAAH/7/o4=")</f>
        <v>#REF!</v>
      </c>
      <c r="EN72" t="e">
        <f>AND(#REF!,"AAAAAH/7/o8=")</f>
        <v>#REF!</v>
      </c>
      <c r="EO72" t="e">
        <f>IF(#REF!,"AAAAAH/7/pA=",0)</f>
        <v>#REF!</v>
      </c>
      <c r="EP72" t="e">
        <f>AND(#REF!,"AAAAAH/7/pE=")</f>
        <v>#REF!</v>
      </c>
      <c r="EQ72" t="e">
        <f>AND(#REF!,"AAAAAH/7/pI=")</f>
        <v>#REF!</v>
      </c>
      <c r="ER72" t="e">
        <f>AND(#REF!,"AAAAAH/7/pM=")</f>
        <v>#REF!</v>
      </c>
      <c r="ES72" t="e">
        <f>AND(#REF!,"AAAAAH/7/pQ=")</f>
        <v>#REF!</v>
      </c>
      <c r="ET72" t="e">
        <f>AND(#REF!,"AAAAAH/7/pU=")</f>
        <v>#REF!</v>
      </c>
      <c r="EU72" t="e">
        <f>AND(#REF!,"AAAAAH/7/pY=")</f>
        <v>#REF!</v>
      </c>
      <c r="EV72" t="e">
        <f>AND(#REF!,"AAAAAH/7/pc=")</f>
        <v>#REF!</v>
      </c>
      <c r="EW72" t="e">
        <f>AND(#REF!,"AAAAAH/7/pg=")</f>
        <v>#REF!</v>
      </c>
      <c r="EX72" t="e">
        <f>AND(#REF!,"AAAAAH/7/pk=")</f>
        <v>#REF!</v>
      </c>
      <c r="EY72" t="e">
        <f>AND(#REF!,"AAAAAH/7/po=")</f>
        <v>#REF!</v>
      </c>
      <c r="EZ72" t="e">
        <f>AND(#REF!,"AAAAAH/7/ps=")</f>
        <v>#REF!</v>
      </c>
      <c r="FA72" t="e">
        <f>AND(#REF!,"AAAAAH/7/pw=")</f>
        <v>#REF!</v>
      </c>
      <c r="FB72" t="e">
        <f>AND(#REF!,"AAAAAH/7/p0=")</f>
        <v>#REF!</v>
      </c>
      <c r="FC72" t="e">
        <f>AND(#REF!,"AAAAAH/7/p4=")</f>
        <v>#REF!</v>
      </c>
      <c r="FD72" t="e">
        <f>AND(#REF!,"AAAAAH/7/p8=")</f>
        <v>#REF!</v>
      </c>
      <c r="FE72" t="e">
        <f>AND(#REF!,"AAAAAH/7/qA=")</f>
        <v>#REF!</v>
      </c>
      <c r="FF72" t="e">
        <f>AND(#REF!,"AAAAAH/7/qE=")</f>
        <v>#REF!</v>
      </c>
      <c r="FG72" t="e">
        <f>AND(#REF!,"AAAAAH/7/qI=")</f>
        <v>#REF!</v>
      </c>
      <c r="FH72" t="e">
        <f>AND(#REF!,"AAAAAH/7/qM=")</f>
        <v>#REF!</v>
      </c>
      <c r="FI72" t="e">
        <f>AND(#REF!,"AAAAAH/7/qQ=")</f>
        <v>#REF!</v>
      </c>
      <c r="FJ72" t="e">
        <f>AND(#REF!,"AAAAAH/7/qU=")</f>
        <v>#REF!</v>
      </c>
      <c r="FK72" t="e">
        <f>AND(#REF!,"AAAAAH/7/qY=")</f>
        <v>#REF!</v>
      </c>
      <c r="FL72" t="e">
        <f>AND(#REF!,"AAAAAH/7/qc=")</f>
        <v>#REF!</v>
      </c>
      <c r="FM72" t="e">
        <f>AND(#REF!,"AAAAAH/7/qg=")</f>
        <v>#REF!</v>
      </c>
      <c r="FN72" t="e">
        <f>AND(#REF!,"AAAAAH/7/qk=")</f>
        <v>#REF!</v>
      </c>
      <c r="FO72" t="e">
        <f>AND(#REF!,"AAAAAH/7/qo=")</f>
        <v>#REF!</v>
      </c>
      <c r="FP72" t="e">
        <f>IF(#REF!,"AAAAAH/7/qs=",0)</f>
        <v>#REF!</v>
      </c>
      <c r="FQ72" t="e">
        <f>AND(#REF!,"AAAAAH/7/qw=")</f>
        <v>#REF!</v>
      </c>
      <c r="FR72" t="e">
        <f>AND(#REF!,"AAAAAH/7/q0=")</f>
        <v>#REF!</v>
      </c>
      <c r="FS72" t="e">
        <f>AND(#REF!,"AAAAAH/7/q4=")</f>
        <v>#REF!</v>
      </c>
      <c r="FT72" t="e">
        <f>AND(#REF!,"AAAAAH/7/q8=")</f>
        <v>#REF!</v>
      </c>
      <c r="FU72" t="e">
        <f>AND(#REF!,"AAAAAH/7/rA=")</f>
        <v>#REF!</v>
      </c>
      <c r="FV72" t="e">
        <f>AND(#REF!,"AAAAAH/7/rE=")</f>
        <v>#REF!</v>
      </c>
      <c r="FW72" t="e">
        <f>AND(#REF!,"AAAAAH/7/rI=")</f>
        <v>#REF!</v>
      </c>
      <c r="FX72" t="e">
        <f>AND(#REF!,"AAAAAH/7/rM=")</f>
        <v>#REF!</v>
      </c>
      <c r="FY72" t="e">
        <f>AND(#REF!,"AAAAAH/7/rQ=")</f>
        <v>#REF!</v>
      </c>
      <c r="FZ72" t="e">
        <f>AND(#REF!,"AAAAAH/7/rU=")</f>
        <v>#REF!</v>
      </c>
      <c r="GA72" t="e">
        <f>AND(#REF!,"AAAAAH/7/rY=")</f>
        <v>#REF!</v>
      </c>
      <c r="GB72" t="e">
        <f>AND(#REF!,"AAAAAH/7/rc=")</f>
        <v>#REF!</v>
      </c>
      <c r="GC72" t="e">
        <f>AND(#REF!,"AAAAAH/7/rg=")</f>
        <v>#REF!</v>
      </c>
      <c r="GD72" t="e">
        <f>AND(#REF!,"AAAAAH/7/rk=")</f>
        <v>#REF!</v>
      </c>
      <c r="GE72" t="e">
        <f>AND(#REF!,"AAAAAH/7/ro=")</f>
        <v>#REF!</v>
      </c>
      <c r="GF72" t="e">
        <f>AND(#REF!,"AAAAAH/7/rs=")</f>
        <v>#REF!</v>
      </c>
      <c r="GG72" t="e">
        <f>AND(#REF!,"AAAAAH/7/rw=")</f>
        <v>#REF!</v>
      </c>
      <c r="GH72" t="e">
        <f>AND(#REF!,"AAAAAH/7/r0=")</f>
        <v>#REF!</v>
      </c>
      <c r="GI72" t="e">
        <f>AND(#REF!,"AAAAAH/7/r4=")</f>
        <v>#REF!</v>
      </c>
      <c r="GJ72" t="e">
        <f>AND(#REF!,"AAAAAH/7/r8=")</f>
        <v>#REF!</v>
      </c>
      <c r="GK72" t="e">
        <f>AND(#REF!,"AAAAAH/7/sA=")</f>
        <v>#REF!</v>
      </c>
      <c r="GL72" t="e">
        <f>AND(#REF!,"AAAAAH/7/sE=")</f>
        <v>#REF!</v>
      </c>
      <c r="GM72" t="e">
        <f>AND(#REF!,"AAAAAH/7/sI=")</f>
        <v>#REF!</v>
      </c>
      <c r="GN72" t="e">
        <f>AND(#REF!,"AAAAAH/7/sM=")</f>
        <v>#REF!</v>
      </c>
      <c r="GO72" t="e">
        <f>AND(#REF!,"AAAAAH/7/sQ=")</f>
        <v>#REF!</v>
      </c>
      <c r="GP72" t="e">
        <f>AND(#REF!,"AAAAAH/7/sU=")</f>
        <v>#REF!</v>
      </c>
      <c r="GQ72" t="e">
        <f>IF(#REF!,"AAAAAH/7/sY=",0)</f>
        <v>#REF!</v>
      </c>
      <c r="GR72" t="e">
        <f>AND(#REF!,"AAAAAH/7/sc=")</f>
        <v>#REF!</v>
      </c>
      <c r="GS72" t="e">
        <f>AND(#REF!,"AAAAAH/7/sg=")</f>
        <v>#REF!</v>
      </c>
      <c r="GT72" t="e">
        <f>AND(#REF!,"AAAAAH/7/sk=")</f>
        <v>#REF!</v>
      </c>
      <c r="GU72" t="e">
        <f>AND(#REF!,"AAAAAH/7/so=")</f>
        <v>#REF!</v>
      </c>
      <c r="GV72" t="e">
        <f>AND(#REF!,"AAAAAH/7/ss=")</f>
        <v>#REF!</v>
      </c>
      <c r="GW72" t="e">
        <f>AND(#REF!,"AAAAAH/7/sw=")</f>
        <v>#REF!</v>
      </c>
      <c r="GX72" t="e">
        <f>AND(#REF!,"AAAAAH/7/s0=")</f>
        <v>#REF!</v>
      </c>
      <c r="GY72" t="e">
        <f>AND(#REF!,"AAAAAH/7/s4=")</f>
        <v>#REF!</v>
      </c>
      <c r="GZ72" t="e">
        <f>AND(#REF!,"AAAAAH/7/s8=")</f>
        <v>#REF!</v>
      </c>
      <c r="HA72" t="e">
        <f>AND(#REF!,"AAAAAH/7/tA=")</f>
        <v>#REF!</v>
      </c>
      <c r="HB72" t="e">
        <f>AND(#REF!,"AAAAAH/7/tE=")</f>
        <v>#REF!</v>
      </c>
      <c r="HC72" t="e">
        <f>AND(#REF!,"AAAAAH/7/tI=")</f>
        <v>#REF!</v>
      </c>
      <c r="HD72" t="e">
        <f>AND(#REF!,"AAAAAH/7/tM=")</f>
        <v>#REF!</v>
      </c>
      <c r="HE72" t="e">
        <f>AND(#REF!,"AAAAAH/7/tQ=")</f>
        <v>#REF!</v>
      </c>
      <c r="HF72" t="e">
        <f>AND(#REF!,"AAAAAH/7/tU=")</f>
        <v>#REF!</v>
      </c>
      <c r="HG72" t="e">
        <f>AND(#REF!,"AAAAAH/7/tY=")</f>
        <v>#REF!</v>
      </c>
      <c r="HH72" t="e">
        <f>AND(#REF!,"AAAAAH/7/tc=")</f>
        <v>#REF!</v>
      </c>
      <c r="HI72" t="e">
        <f>AND(#REF!,"AAAAAH/7/tg=")</f>
        <v>#REF!</v>
      </c>
      <c r="HJ72" t="e">
        <f>AND(#REF!,"AAAAAH/7/tk=")</f>
        <v>#REF!</v>
      </c>
      <c r="HK72" t="e">
        <f>AND(#REF!,"AAAAAH/7/to=")</f>
        <v>#REF!</v>
      </c>
      <c r="HL72" t="e">
        <f>AND(#REF!,"AAAAAH/7/ts=")</f>
        <v>#REF!</v>
      </c>
      <c r="HM72" t="e">
        <f>AND(#REF!,"AAAAAH/7/tw=")</f>
        <v>#REF!</v>
      </c>
      <c r="HN72" t="e">
        <f>AND(#REF!,"AAAAAH/7/t0=")</f>
        <v>#REF!</v>
      </c>
      <c r="HO72" t="e">
        <f>AND(#REF!,"AAAAAH/7/t4=")</f>
        <v>#REF!</v>
      </c>
      <c r="HP72" t="e">
        <f>AND(#REF!,"AAAAAH/7/t8=")</f>
        <v>#REF!</v>
      </c>
      <c r="HQ72" t="e">
        <f>AND(#REF!,"AAAAAH/7/uA=")</f>
        <v>#REF!</v>
      </c>
      <c r="HR72" t="e">
        <f>IF(#REF!,"AAAAAH/7/uE=",0)</f>
        <v>#REF!</v>
      </c>
      <c r="HS72" t="e">
        <f>AND(#REF!,"AAAAAH/7/uI=")</f>
        <v>#REF!</v>
      </c>
      <c r="HT72" t="e">
        <f>AND(#REF!,"AAAAAH/7/uM=")</f>
        <v>#REF!</v>
      </c>
      <c r="HU72" t="e">
        <f>AND(#REF!,"AAAAAH/7/uQ=")</f>
        <v>#REF!</v>
      </c>
      <c r="HV72" t="e">
        <f>AND(#REF!,"AAAAAH/7/uU=")</f>
        <v>#REF!</v>
      </c>
      <c r="HW72" t="e">
        <f>AND(#REF!,"AAAAAH/7/uY=")</f>
        <v>#REF!</v>
      </c>
      <c r="HX72" t="e">
        <f>AND(#REF!,"AAAAAH/7/uc=")</f>
        <v>#REF!</v>
      </c>
      <c r="HY72" t="e">
        <f>AND(#REF!,"AAAAAH/7/ug=")</f>
        <v>#REF!</v>
      </c>
      <c r="HZ72" t="e">
        <f>AND(#REF!,"AAAAAH/7/uk=")</f>
        <v>#REF!</v>
      </c>
      <c r="IA72" t="e">
        <f>AND(#REF!,"AAAAAH/7/uo=")</f>
        <v>#REF!</v>
      </c>
      <c r="IB72" t="e">
        <f>AND(#REF!,"AAAAAH/7/us=")</f>
        <v>#REF!</v>
      </c>
      <c r="IC72" t="e">
        <f>AND(#REF!,"AAAAAH/7/uw=")</f>
        <v>#REF!</v>
      </c>
      <c r="ID72" t="e">
        <f>AND(#REF!,"AAAAAH/7/u0=")</f>
        <v>#REF!</v>
      </c>
      <c r="IE72" t="e">
        <f>AND(#REF!,"AAAAAH/7/u4=")</f>
        <v>#REF!</v>
      </c>
      <c r="IF72" t="e">
        <f>AND(#REF!,"AAAAAH/7/u8=")</f>
        <v>#REF!</v>
      </c>
      <c r="IG72" t="e">
        <f>AND(#REF!,"AAAAAH/7/vA=")</f>
        <v>#REF!</v>
      </c>
      <c r="IH72" t="e">
        <f>AND(#REF!,"AAAAAH/7/vE=")</f>
        <v>#REF!</v>
      </c>
      <c r="II72" t="e">
        <f>AND(#REF!,"AAAAAH/7/vI=")</f>
        <v>#REF!</v>
      </c>
      <c r="IJ72" t="e">
        <f>AND(#REF!,"AAAAAH/7/vM=")</f>
        <v>#REF!</v>
      </c>
      <c r="IK72" t="e">
        <f>AND(#REF!,"AAAAAH/7/vQ=")</f>
        <v>#REF!</v>
      </c>
      <c r="IL72" t="e">
        <f>AND(#REF!,"AAAAAH/7/vU=")</f>
        <v>#REF!</v>
      </c>
      <c r="IM72" t="e">
        <f>AND(#REF!,"AAAAAH/7/vY=")</f>
        <v>#REF!</v>
      </c>
      <c r="IN72" t="e">
        <f>AND(#REF!,"AAAAAH/7/vc=")</f>
        <v>#REF!</v>
      </c>
      <c r="IO72" t="e">
        <f>AND(#REF!,"AAAAAH/7/vg=")</f>
        <v>#REF!</v>
      </c>
      <c r="IP72" t="e">
        <f>AND(#REF!,"AAAAAH/7/vk=")</f>
        <v>#REF!</v>
      </c>
      <c r="IQ72" t="e">
        <f>AND(#REF!,"AAAAAH/7/vo=")</f>
        <v>#REF!</v>
      </c>
      <c r="IR72" t="e">
        <f>AND(#REF!,"AAAAAH/7/vs=")</f>
        <v>#REF!</v>
      </c>
      <c r="IS72" t="e">
        <f>IF(#REF!,"AAAAAH/7/vw=",0)</f>
        <v>#REF!</v>
      </c>
      <c r="IT72" t="e">
        <f>AND(#REF!,"AAAAAH/7/v0=")</f>
        <v>#REF!</v>
      </c>
      <c r="IU72" t="e">
        <f>AND(#REF!,"AAAAAH/7/v4=")</f>
        <v>#REF!</v>
      </c>
      <c r="IV72" t="e">
        <f>AND(#REF!,"AAAAAH/7/v8=")</f>
        <v>#REF!</v>
      </c>
    </row>
    <row r="73" spans="1:256" x14ac:dyDescent="0.2">
      <c r="A73" t="e">
        <f>AND(#REF!,"AAAAAG17vwA=")</f>
        <v>#REF!</v>
      </c>
      <c r="B73" t="e">
        <f>AND(#REF!,"AAAAAG17vwE=")</f>
        <v>#REF!</v>
      </c>
      <c r="C73" t="e">
        <f>AND(#REF!,"AAAAAG17vwI=")</f>
        <v>#REF!</v>
      </c>
      <c r="D73" t="e">
        <f>AND(#REF!,"AAAAAG17vwM=")</f>
        <v>#REF!</v>
      </c>
      <c r="E73" t="e">
        <f>AND(#REF!,"AAAAAG17vwQ=")</f>
        <v>#REF!</v>
      </c>
      <c r="F73" t="e">
        <f>AND(#REF!,"AAAAAG17vwU=")</f>
        <v>#REF!</v>
      </c>
      <c r="G73" t="e">
        <f>AND(#REF!,"AAAAAG17vwY=")</f>
        <v>#REF!</v>
      </c>
      <c r="H73" t="e">
        <f>AND(#REF!,"AAAAAG17vwc=")</f>
        <v>#REF!</v>
      </c>
      <c r="I73" t="e">
        <f>AND(#REF!,"AAAAAG17vwg=")</f>
        <v>#REF!</v>
      </c>
      <c r="J73" t="e">
        <f>AND(#REF!,"AAAAAG17vwk=")</f>
        <v>#REF!</v>
      </c>
      <c r="K73" t="e">
        <f>AND(#REF!,"AAAAAG17vwo=")</f>
        <v>#REF!</v>
      </c>
      <c r="L73" t="e">
        <f>AND(#REF!,"AAAAAG17vws=")</f>
        <v>#REF!</v>
      </c>
      <c r="M73" t="e">
        <f>AND(#REF!,"AAAAAG17vww=")</f>
        <v>#REF!</v>
      </c>
      <c r="N73" t="e">
        <f>AND(#REF!,"AAAAAG17vw0=")</f>
        <v>#REF!</v>
      </c>
      <c r="O73" t="e">
        <f>AND(#REF!,"AAAAAG17vw4=")</f>
        <v>#REF!</v>
      </c>
      <c r="P73" t="e">
        <f>AND(#REF!,"AAAAAG17vw8=")</f>
        <v>#REF!</v>
      </c>
      <c r="Q73" t="e">
        <f>AND(#REF!,"AAAAAG17vxA=")</f>
        <v>#REF!</v>
      </c>
      <c r="R73" t="e">
        <f>AND(#REF!,"AAAAAG17vxE=")</f>
        <v>#REF!</v>
      </c>
      <c r="S73" t="e">
        <f>AND(#REF!,"AAAAAG17vxI=")</f>
        <v>#REF!</v>
      </c>
      <c r="T73" t="e">
        <f>AND(#REF!,"AAAAAG17vxM=")</f>
        <v>#REF!</v>
      </c>
      <c r="U73" t="e">
        <f>AND(#REF!,"AAAAAG17vxQ=")</f>
        <v>#REF!</v>
      </c>
      <c r="V73" t="e">
        <f>AND(#REF!,"AAAAAG17vxU=")</f>
        <v>#REF!</v>
      </c>
      <c r="W73" t="e">
        <f>AND(#REF!,"AAAAAG17vxY=")</f>
        <v>#REF!</v>
      </c>
      <c r="X73" t="e">
        <f>IF(#REF!,"AAAAAG17vxc=",0)</f>
        <v>#REF!</v>
      </c>
      <c r="Y73" t="e">
        <f>AND(#REF!,"AAAAAG17vxg=")</f>
        <v>#REF!</v>
      </c>
      <c r="Z73" t="e">
        <f>AND(#REF!,"AAAAAG17vxk=")</f>
        <v>#REF!</v>
      </c>
      <c r="AA73" t="e">
        <f>AND(#REF!,"AAAAAG17vxo=")</f>
        <v>#REF!</v>
      </c>
      <c r="AB73" t="e">
        <f>AND(#REF!,"AAAAAG17vxs=")</f>
        <v>#REF!</v>
      </c>
      <c r="AC73" t="e">
        <f>AND(#REF!,"AAAAAG17vxw=")</f>
        <v>#REF!</v>
      </c>
      <c r="AD73" t="e">
        <f>AND(#REF!,"AAAAAG17vx0=")</f>
        <v>#REF!</v>
      </c>
      <c r="AE73" t="e">
        <f>AND(#REF!,"AAAAAG17vx4=")</f>
        <v>#REF!</v>
      </c>
      <c r="AF73" t="e">
        <f>AND(#REF!,"AAAAAG17vx8=")</f>
        <v>#REF!</v>
      </c>
      <c r="AG73" t="e">
        <f>AND(#REF!,"AAAAAG17vyA=")</f>
        <v>#REF!</v>
      </c>
      <c r="AH73" t="e">
        <f>AND(#REF!,"AAAAAG17vyE=")</f>
        <v>#REF!</v>
      </c>
      <c r="AI73" t="e">
        <f>AND(#REF!,"AAAAAG17vyI=")</f>
        <v>#REF!</v>
      </c>
      <c r="AJ73" t="e">
        <f>AND(#REF!,"AAAAAG17vyM=")</f>
        <v>#REF!</v>
      </c>
      <c r="AK73" t="e">
        <f>AND(#REF!,"AAAAAG17vyQ=")</f>
        <v>#REF!</v>
      </c>
      <c r="AL73" t="e">
        <f>AND(#REF!,"AAAAAG17vyU=")</f>
        <v>#REF!</v>
      </c>
      <c r="AM73" t="e">
        <f>AND(#REF!,"AAAAAG17vyY=")</f>
        <v>#REF!</v>
      </c>
      <c r="AN73" t="e">
        <f>AND(#REF!,"AAAAAG17vyc=")</f>
        <v>#REF!</v>
      </c>
      <c r="AO73" t="e">
        <f>AND(#REF!,"AAAAAG17vyg=")</f>
        <v>#REF!</v>
      </c>
      <c r="AP73" t="e">
        <f>AND(#REF!,"AAAAAG17vyk=")</f>
        <v>#REF!</v>
      </c>
      <c r="AQ73" t="e">
        <f>AND(#REF!,"AAAAAG17vyo=")</f>
        <v>#REF!</v>
      </c>
      <c r="AR73" t="e">
        <f>AND(#REF!,"AAAAAG17vys=")</f>
        <v>#REF!</v>
      </c>
      <c r="AS73" t="e">
        <f>AND(#REF!,"AAAAAG17vyw=")</f>
        <v>#REF!</v>
      </c>
      <c r="AT73" t="e">
        <f>AND(#REF!,"AAAAAG17vy0=")</f>
        <v>#REF!</v>
      </c>
      <c r="AU73" t="e">
        <f>AND(#REF!,"AAAAAG17vy4=")</f>
        <v>#REF!</v>
      </c>
      <c r="AV73" t="e">
        <f>AND(#REF!,"AAAAAG17vy8=")</f>
        <v>#REF!</v>
      </c>
      <c r="AW73" t="e">
        <f>AND(#REF!,"AAAAAG17vzA=")</f>
        <v>#REF!</v>
      </c>
      <c r="AX73" t="e">
        <f>AND(#REF!,"AAAAAG17vzE=")</f>
        <v>#REF!</v>
      </c>
      <c r="AY73" t="e">
        <f>IF(#REF!,"AAAAAG17vzI=",0)</f>
        <v>#REF!</v>
      </c>
      <c r="AZ73" t="e">
        <f>AND(#REF!,"AAAAAG17vzM=")</f>
        <v>#REF!</v>
      </c>
      <c r="BA73" t="e">
        <f>AND(#REF!,"AAAAAG17vzQ=")</f>
        <v>#REF!</v>
      </c>
      <c r="BB73" t="e">
        <f>AND(#REF!,"AAAAAG17vzU=")</f>
        <v>#REF!</v>
      </c>
      <c r="BC73" t="e">
        <f>AND(#REF!,"AAAAAG17vzY=")</f>
        <v>#REF!</v>
      </c>
      <c r="BD73" t="e">
        <f>AND(#REF!,"AAAAAG17vzc=")</f>
        <v>#REF!</v>
      </c>
      <c r="BE73" t="e">
        <f>AND(#REF!,"AAAAAG17vzg=")</f>
        <v>#REF!</v>
      </c>
      <c r="BF73" t="e">
        <f>AND(#REF!,"AAAAAG17vzk=")</f>
        <v>#REF!</v>
      </c>
      <c r="BG73" t="e">
        <f>AND(#REF!,"AAAAAG17vzo=")</f>
        <v>#REF!</v>
      </c>
      <c r="BH73" t="e">
        <f>AND(#REF!,"AAAAAG17vzs=")</f>
        <v>#REF!</v>
      </c>
      <c r="BI73" t="e">
        <f>AND(#REF!,"AAAAAG17vzw=")</f>
        <v>#REF!</v>
      </c>
      <c r="BJ73" t="e">
        <f>AND(#REF!,"AAAAAG17vz0=")</f>
        <v>#REF!</v>
      </c>
      <c r="BK73" t="e">
        <f>AND(#REF!,"AAAAAG17vz4=")</f>
        <v>#REF!</v>
      </c>
      <c r="BL73" t="e">
        <f>AND(#REF!,"AAAAAG17vz8=")</f>
        <v>#REF!</v>
      </c>
      <c r="BM73" t="e">
        <f>AND(#REF!,"AAAAAG17v0A=")</f>
        <v>#REF!</v>
      </c>
      <c r="BN73" t="e">
        <f>AND(#REF!,"AAAAAG17v0E=")</f>
        <v>#REF!</v>
      </c>
      <c r="BO73" t="e">
        <f>AND(#REF!,"AAAAAG17v0I=")</f>
        <v>#REF!</v>
      </c>
      <c r="BP73" t="e">
        <f>AND(#REF!,"AAAAAG17v0M=")</f>
        <v>#REF!</v>
      </c>
      <c r="BQ73" t="e">
        <f>AND(#REF!,"AAAAAG17v0Q=")</f>
        <v>#REF!</v>
      </c>
      <c r="BR73" t="e">
        <f>AND(#REF!,"AAAAAG17v0U=")</f>
        <v>#REF!</v>
      </c>
      <c r="BS73" t="e">
        <f>AND(#REF!,"AAAAAG17v0Y=")</f>
        <v>#REF!</v>
      </c>
      <c r="BT73" t="e">
        <f>AND(#REF!,"AAAAAG17v0c=")</f>
        <v>#REF!</v>
      </c>
      <c r="BU73" t="e">
        <f>AND(#REF!,"AAAAAG17v0g=")</f>
        <v>#REF!</v>
      </c>
      <c r="BV73" t="e">
        <f>AND(#REF!,"AAAAAG17v0k=")</f>
        <v>#REF!</v>
      </c>
      <c r="BW73" t="e">
        <f>AND(#REF!,"AAAAAG17v0o=")</f>
        <v>#REF!</v>
      </c>
      <c r="BX73" t="e">
        <f>AND(#REF!,"AAAAAG17v0s=")</f>
        <v>#REF!</v>
      </c>
      <c r="BY73" t="e">
        <f>AND(#REF!,"AAAAAG17v0w=")</f>
        <v>#REF!</v>
      </c>
      <c r="BZ73" t="e">
        <f>IF(#REF!,"AAAAAG17v00=",0)</f>
        <v>#REF!</v>
      </c>
      <c r="CA73" t="e">
        <f>AND(#REF!,"AAAAAG17v04=")</f>
        <v>#REF!</v>
      </c>
      <c r="CB73" t="e">
        <f>AND(#REF!,"AAAAAG17v08=")</f>
        <v>#REF!</v>
      </c>
      <c r="CC73" t="e">
        <f>AND(#REF!,"AAAAAG17v1A=")</f>
        <v>#REF!</v>
      </c>
      <c r="CD73" t="e">
        <f>AND(#REF!,"AAAAAG17v1E=")</f>
        <v>#REF!</v>
      </c>
      <c r="CE73" t="e">
        <f>AND(#REF!,"AAAAAG17v1I=")</f>
        <v>#REF!</v>
      </c>
      <c r="CF73" t="e">
        <f>AND(#REF!,"AAAAAG17v1M=")</f>
        <v>#REF!</v>
      </c>
      <c r="CG73" t="e">
        <f>AND(#REF!,"AAAAAG17v1Q=")</f>
        <v>#REF!</v>
      </c>
      <c r="CH73" t="e">
        <f>AND(#REF!,"AAAAAG17v1U=")</f>
        <v>#REF!</v>
      </c>
      <c r="CI73" t="e">
        <f>AND(#REF!,"AAAAAG17v1Y=")</f>
        <v>#REF!</v>
      </c>
      <c r="CJ73" t="e">
        <f>AND(#REF!,"AAAAAG17v1c=")</f>
        <v>#REF!</v>
      </c>
      <c r="CK73" t="e">
        <f>AND(#REF!,"AAAAAG17v1g=")</f>
        <v>#REF!</v>
      </c>
      <c r="CL73" t="e">
        <f>AND(#REF!,"AAAAAG17v1k=")</f>
        <v>#REF!</v>
      </c>
      <c r="CM73" t="e">
        <f>AND(#REF!,"AAAAAG17v1o=")</f>
        <v>#REF!</v>
      </c>
      <c r="CN73" t="e">
        <f>AND(#REF!,"AAAAAG17v1s=")</f>
        <v>#REF!</v>
      </c>
      <c r="CO73" t="e">
        <f>AND(#REF!,"AAAAAG17v1w=")</f>
        <v>#REF!</v>
      </c>
      <c r="CP73" t="e">
        <f>AND(#REF!,"AAAAAG17v10=")</f>
        <v>#REF!</v>
      </c>
      <c r="CQ73" t="e">
        <f>AND(#REF!,"AAAAAG17v14=")</f>
        <v>#REF!</v>
      </c>
      <c r="CR73" t="e">
        <f>AND(#REF!,"AAAAAG17v18=")</f>
        <v>#REF!</v>
      </c>
      <c r="CS73" t="e">
        <f>AND(#REF!,"AAAAAG17v2A=")</f>
        <v>#REF!</v>
      </c>
      <c r="CT73" t="e">
        <f>AND(#REF!,"AAAAAG17v2E=")</f>
        <v>#REF!</v>
      </c>
      <c r="CU73" t="e">
        <f>AND(#REF!,"AAAAAG17v2I=")</f>
        <v>#REF!</v>
      </c>
      <c r="CV73" t="e">
        <f>AND(#REF!,"AAAAAG17v2M=")</f>
        <v>#REF!</v>
      </c>
      <c r="CW73" t="e">
        <f>AND(#REF!,"AAAAAG17v2Q=")</f>
        <v>#REF!</v>
      </c>
      <c r="CX73" t="e">
        <f>AND(#REF!,"AAAAAG17v2U=")</f>
        <v>#REF!</v>
      </c>
      <c r="CY73" t="e">
        <f>AND(#REF!,"AAAAAG17v2Y=")</f>
        <v>#REF!</v>
      </c>
      <c r="CZ73" t="e">
        <f>AND(#REF!,"AAAAAG17v2c=")</f>
        <v>#REF!</v>
      </c>
      <c r="DA73" t="e">
        <f>IF(#REF!,"AAAAAG17v2g=",0)</f>
        <v>#REF!</v>
      </c>
      <c r="DB73" t="e">
        <f>AND(#REF!,"AAAAAG17v2k=")</f>
        <v>#REF!</v>
      </c>
      <c r="DC73" t="e">
        <f>AND(#REF!,"AAAAAG17v2o=")</f>
        <v>#REF!</v>
      </c>
      <c r="DD73" t="e">
        <f>AND(#REF!,"AAAAAG17v2s=")</f>
        <v>#REF!</v>
      </c>
      <c r="DE73" t="e">
        <f>AND(#REF!,"AAAAAG17v2w=")</f>
        <v>#REF!</v>
      </c>
      <c r="DF73" t="e">
        <f>AND(#REF!,"AAAAAG17v20=")</f>
        <v>#REF!</v>
      </c>
      <c r="DG73" t="e">
        <f>AND(#REF!,"AAAAAG17v24=")</f>
        <v>#REF!</v>
      </c>
      <c r="DH73" t="e">
        <f>AND(#REF!,"AAAAAG17v28=")</f>
        <v>#REF!</v>
      </c>
      <c r="DI73" t="e">
        <f>AND(#REF!,"AAAAAG17v3A=")</f>
        <v>#REF!</v>
      </c>
      <c r="DJ73" t="e">
        <f>AND(#REF!,"AAAAAG17v3E=")</f>
        <v>#REF!</v>
      </c>
      <c r="DK73" t="e">
        <f>AND(#REF!,"AAAAAG17v3I=")</f>
        <v>#REF!</v>
      </c>
      <c r="DL73" t="e">
        <f>AND(#REF!,"AAAAAG17v3M=")</f>
        <v>#REF!</v>
      </c>
      <c r="DM73" t="e">
        <f>AND(#REF!,"AAAAAG17v3Q=")</f>
        <v>#REF!</v>
      </c>
      <c r="DN73" t="e">
        <f>AND(#REF!,"AAAAAG17v3U=")</f>
        <v>#REF!</v>
      </c>
      <c r="DO73" t="e">
        <f>AND(#REF!,"AAAAAG17v3Y=")</f>
        <v>#REF!</v>
      </c>
      <c r="DP73" t="e">
        <f>AND(#REF!,"AAAAAG17v3c=")</f>
        <v>#REF!</v>
      </c>
      <c r="DQ73" t="e">
        <f>AND(#REF!,"AAAAAG17v3g=")</f>
        <v>#REF!</v>
      </c>
      <c r="DR73" t="e">
        <f>AND(#REF!,"AAAAAG17v3k=")</f>
        <v>#REF!</v>
      </c>
      <c r="DS73" t="e">
        <f>AND(#REF!,"AAAAAG17v3o=")</f>
        <v>#REF!</v>
      </c>
      <c r="DT73" t="e">
        <f>AND(#REF!,"AAAAAG17v3s=")</f>
        <v>#REF!</v>
      </c>
      <c r="DU73" t="e">
        <f>AND(#REF!,"AAAAAG17v3w=")</f>
        <v>#REF!</v>
      </c>
      <c r="DV73" t="e">
        <f>AND(#REF!,"AAAAAG17v30=")</f>
        <v>#REF!</v>
      </c>
      <c r="DW73" t="e">
        <f>AND(#REF!,"AAAAAG17v34=")</f>
        <v>#REF!</v>
      </c>
      <c r="DX73" t="e">
        <f>AND(#REF!,"AAAAAG17v38=")</f>
        <v>#REF!</v>
      </c>
      <c r="DY73" t="e">
        <f>AND(#REF!,"AAAAAG17v4A=")</f>
        <v>#REF!</v>
      </c>
      <c r="DZ73" t="e">
        <f>AND(#REF!,"AAAAAG17v4E=")</f>
        <v>#REF!</v>
      </c>
      <c r="EA73" t="e">
        <f>AND(#REF!,"AAAAAG17v4I=")</f>
        <v>#REF!</v>
      </c>
      <c r="EB73" t="e">
        <f>IF(#REF!,"AAAAAG17v4M=",0)</f>
        <v>#REF!</v>
      </c>
      <c r="EC73" t="e">
        <f>AND(#REF!,"AAAAAG17v4Q=")</f>
        <v>#REF!</v>
      </c>
      <c r="ED73" t="e">
        <f>AND(#REF!,"AAAAAG17v4U=")</f>
        <v>#REF!</v>
      </c>
      <c r="EE73" t="e">
        <f>AND(#REF!,"AAAAAG17v4Y=")</f>
        <v>#REF!</v>
      </c>
      <c r="EF73" t="e">
        <f>AND(#REF!,"AAAAAG17v4c=")</f>
        <v>#REF!</v>
      </c>
      <c r="EG73" t="e">
        <f>AND(#REF!,"AAAAAG17v4g=")</f>
        <v>#REF!</v>
      </c>
      <c r="EH73" t="e">
        <f>AND(#REF!,"AAAAAG17v4k=")</f>
        <v>#REF!</v>
      </c>
      <c r="EI73" t="e">
        <f>AND(#REF!,"AAAAAG17v4o=")</f>
        <v>#REF!</v>
      </c>
      <c r="EJ73" t="e">
        <f>AND(#REF!,"AAAAAG17v4s=")</f>
        <v>#REF!</v>
      </c>
      <c r="EK73" t="e">
        <f>AND(#REF!,"AAAAAG17v4w=")</f>
        <v>#REF!</v>
      </c>
      <c r="EL73" t="e">
        <f>AND(#REF!,"AAAAAG17v40=")</f>
        <v>#REF!</v>
      </c>
      <c r="EM73" t="e">
        <f>AND(#REF!,"AAAAAG17v44=")</f>
        <v>#REF!</v>
      </c>
      <c r="EN73" t="e">
        <f>AND(#REF!,"AAAAAG17v48=")</f>
        <v>#REF!</v>
      </c>
      <c r="EO73" t="e">
        <f>AND(#REF!,"AAAAAG17v5A=")</f>
        <v>#REF!</v>
      </c>
      <c r="EP73" t="e">
        <f>AND(#REF!,"AAAAAG17v5E=")</f>
        <v>#REF!</v>
      </c>
      <c r="EQ73" t="e">
        <f>AND(#REF!,"AAAAAG17v5I=")</f>
        <v>#REF!</v>
      </c>
      <c r="ER73" t="e">
        <f>AND(#REF!,"AAAAAG17v5M=")</f>
        <v>#REF!</v>
      </c>
      <c r="ES73" t="e">
        <f>AND(#REF!,"AAAAAG17v5Q=")</f>
        <v>#REF!</v>
      </c>
      <c r="ET73" t="e">
        <f>AND(#REF!,"AAAAAG17v5U=")</f>
        <v>#REF!</v>
      </c>
      <c r="EU73" t="e">
        <f>AND(#REF!,"AAAAAG17v5Y=")</f>
        <v>#REF!</v>
      </c>
      <c r="EV73" t="e">
        <f>AND(#REF!,"AAAAAG17v5c=")</f>
        <v>#REF!</v>
      </c>
      <c r="EW73" t="e">
        <f>AND(#REF!,"AAAAAG17v5g=")</f>
        <v>#REF!</v>
      </c>
      <c r="EX73" t="e">
        <f>AND(#REF!,"AAAAAG17v5k=")</f>
        <v>#REF!</v>
      </c>
      <c r="EY73" t="e">
        <f>AND(#REF!,"AAAAAG17v5o=")</f>
        <v>#REF!</v>
      </c>
      <c r="EZ73" t="e">
        <f>AND(#REF!,"AAAAAG17v5s=")</f>
        <v>#REF!</v>
      </c>
      <c r="FA73" t="e">
        <f>AND(#REF!,"AAAAAG17v5w=")</f>
        <v>#REF!</v>
      </c>
      <c r="FB73" t="e">
        <f>AND(#REF!,"AAAAAG17v50=")</f>
        <v>#REF!</v>
      </c>
      <c r="FC73" t="e">
        <f>IF(#REF!,"AAAAAG17v54=",0)</f>
        <v>#REF!</v>
      </c>
      <c r="FD73" t="e">
        <f>AND(#REF!,"AAAAAG17v58=")</f>
        <v>#REF!</v>
      </c>
      <c r="FE73" t="e">
        <f>AND(#REF!,"AAAAAG17v6A=")</f>
        <v>#REF!</v>
      </c>
      <c r="FF73" t="e">
        <f>AND(#REF!,"AAAAAG17v6E=")</f>
        <v>#REF!</v>
      </c>
      <c r="FG73" t="e">
        <f>AND(#REF!,"AAAAAG17v6I=")</f>
        <v>#REF!</v>
      </c>
      <c r="FH73" t="e">
        <f>AND(#REF!,"AAAAAG17v6M=")</f>
        <v>#REF!</v>
      </c>
      <c r="FI73" t="e">
        <f>AND(#REF!,"AAAAAG17v6Q=")</f>
        <v>#REF!</v>
      </c>
      <c r="FJ73" t="e">
        <f>AND(#REF!,"AAAAAG17v6U=")</f>
        <v>#REF!</v>
      </c>
      <c r="FK73" t="e">
        <f>AND(#REF!,"AAAAAG17v6Y=")</f>
        <v>#REF!</v>
      </c>
      <c r="FL73" t="e">
        <f>AND(#REF!,"AAAAAG17v6c=")</f>
        <v>#REF!</v>
      </c>
      <c r="FM73" t="e">
        <f>AND(#REF!,"AAAAAG17v6g=")</f>
        <v>#REF!</v>
      </c>
      <c r="FN73" t="e">
        <f>AND(#REF!,"AAAAAG17v6k=")</f>
        <v>#REF!</v>
      </c>
      <c r="FO73" t="e">
        <f>AND(#REF!,"AAAAAG17v6o=")</f>
        <v>#REF!</v>
      </c>
      <c r="FP73" t="e">
        <f>AND(#REF!,"AAAAAG17v6s=")</f>
        <v>#REF!</v>
      </c>
      <c r="FQ73" t="e">
        <f>AND(#REF!,"AAAAAG17v6w=")</f>
        <v>#REF!</v>
      </c>
      <c r="FR73" t="e">
        <f>AND(#REF!,"AAAAAG17v60=")</f>
        <v>#REF!</v>
      </c>
      <c r="FS73" t="e">
        <f>AND(#REF!,"AAAAAG17v64=")</f>
        <v>#REF!</v>
      </c>
      <c r="FT73" t="e">
        <f>AND(#REF!,"AAAAAG17v68=")</f>
        <v>#REF!</v>
      </c>
      <c r="FU73" t="e">
        <f>AND(#REF!,"AAAAAG17v7A=")</f>
        <v>#REF!</v>
      </c>
      <c r="FV73" t="e">
        <f>AND(#REF!,"AAAAAG17v7E=")</f>
        <v>#REF!</v>
      </c>
      <c r="FW73" t="e">
        <f>AND(#REF!,"AAAAAG17v7I=")</f>
        <v>#REF!</v>
      </c>
      <c r="FX73" t="e">
        <f>AND(#REF!,"AAAAAG17v7M=")</f>
        <v>#REF!</v>
      </c>
      <c r="FY73" t="e">
        <f>AND(#REF!,"AAAAAG17v7Q=")</f>
        <v>#REF!</v>
      </c>
      <c r="FZ73" t="e">
        <f>AND(#REF!,"AAAAAG17v7U=")</f>
        <v>#REF!</v>
      </c>
      <c r="GA73" t="e">
        <f>AND(#REF!,"AAAAAG17v7Y=")</f>
        <v>#REF!</v>
      </c>
      <c r="GB73" t="e">
        <f>AND(#REF!,"AAAAAG17v7c=")</f>
        <v>#REF!</v>
      </c>
      <c r="GC73" t="e">
        <f>AND(#REF!,"AAAAAG17v7g=")</f>
        <v>#REF!</v>
      </c>
      <c r="GD73" t="e">
        <f>IF(#REF!,"AAAAAG17v7k=",0)</f>
        <v>#REF!</v>
      </c>
      <c r="GE73" t="e">
        <f>AND(#REF!,"AAAAAG17v7o=")</f>
        <v>#REF!</v>
      </c>
      <c r="GF73" t="e">
        <f>AND(#REF!,"AAAAAG17v7s=")</f>
        <v>#REF!</v>
      </c>
      <c r="GG73" t="e">
        <f>AND(#REF!,"AAAAAG17v7w=")</f>
        <v>#REF!</v>
      </c>
      <c r="GH73" t="e">
        <f>AND(#REF!,"AAAAAG17v70=")</f>
        <v>#REF!</v>
      </c>
      <c r="GI73" t="e">
        <f>AND(#REF!,"AAAAAG17v74=")</f>
        <v>#REF!</v>
      </c>
      <c r="GJ73" t="e">
        <f>AND(#REF!,"AAAAAG17v78=")</f>
        <v>#REF!</v>
      </c>
      <c r="GK73" t="e">
        <f>AND(#REF!,"AAAAAG17v8A=")</f>
        <v>#REF!</v>
      </c>
      <c r="GL73" t="e">
        <f>AND(#REF!,"AAAAAG17v8E=")</f>
        <v>#REF!</v>
      </c>
      <c r="GM73" t="e">
        <f>AND(#REF!,"AAAAAG17v8I=")</f>
        <v>#REF!</v>
      </c>
      <c r="GN73" t="e">
        <f>AND(#REF!,"AAAAAG17v8M=")</f>
        <v>#REF!</v>
      </c>
      <c r="GO73" t="e">
        <f>AND(#REF!,"AAAAAG17v8Q=")</f>
        <v>#REF!</v>
      </c>
      <c r="GP73" t="e">
        <f>AND(#REF!,"AAAAAG17v8U=")</f>
        <v>#REF!</v>
      </c>
      <c r="GQ73" t="e">
        <f>AND(#REF!,"AAAAAG17v8Y=")</f>
        <v>#REF!</v>
      </c>
      <c r="GR73" t="e">
        <f>AND(#REF!,"AAAAAG17v8c=")</f>
        <v>#REF!</v>
      </c>
      <c r="GS73" t="e">
        <f>AND(#REF!,"AAAAAG17v8g=")</f>
        <v>#REF!</v>
      </c>
      <c r="GT73" t="e">
        <f>AND(#REF!,"AAAAAG17v8k=")</f>
        <v>#REF!</v>
      </c>
      <c r="GU73" t="e">
        <f>AND(#REF!,"AAAAAG17v8o=")</f>
        <v>#REF!</v>
      </c>
      <c r="GV73" t="e">
        <f>AND(#REF!,"AAAAAG17v8s=")</f>
        <v>#REF!</v>
      </c>
      <c r="GW73" t="e">
        <f>AND(#REF!,"AAAAAG17v8w=")</f>
        <v>#REF!</v>
      </c>
      <c r="GX73" t="e">
        <f>AND(#REF!,"AAAAAG17v80=")</f>
        <v>#REF!</v>
      </c>
      <c r="GY73" t="e">
        <f>AND(#REF!,"AAAAAG17v84=")</f>
        <v>#REF!</v>
      </c>
      <c r="GZ73" t="e">
        <f>AND(#REF!,"AAAAAG17v88=")</f>
        <v>#REF!</v>
      </c>
      <c r="HA73" t="e">
        <f>AND(#REF!,"AAAAAG17v9A=")</f>
        <v>#REF!</v>
      </c>
      <c r="HB73" t="e">
        <f>AND(#REF!,"AAAAAG17v9E=")</f>
        <v>#REF!</v>
      </c>
      <c r="HC73" t="e">
        <f>AND(#REF!,"AAAAAG17v9I=")</f>
        <v>#REF!</v>
      </c>
      <c r="HD73" t="e">
        <f>AND(#REF!,"AAAAAG17v9M=")</f>
        <v>#REF!</v>
      </c>
      <c r="HE73" t="e">
        <f>IF(#REF!,"AAAAAG17v9Q=",0)</f>
        <v>#REF!</v>
      </c>
      <c r="HF73" t="e">
        <f>AND(#REF!,"AAAAAG17v9U=")</f>
        <v>#REF!</v>
      </c>
      <c r="HG73" t="e">
        <f>AND(#REF!,"AAAAAG17v9Y=")</f>
        <v>#REF!</v>
      </c>
      <c r="HH73" t="e">
        <f>AND(#REF!,"AAAAAG17v9c=")</f>
        <v>#REF!</v>
      </c>
      <c r="HI73" t="e">
        <f>AND(#REF!,"AAAAAG17v9g=")</f>
        <v>#REF!</v>
      </c>
      <c r="HJ73" t="e">
        <f>AND(#REF!,"AAAAAG17v9k=")</f>
        <v>#REF!</v>
      </c>
      <c r="HK73" t="e">
        <f>AND(#REF!,"AAAAAG17v9o=")</f>
        <v>#REF!</v>
      </c>
      <c r="HL73" t="e">
        <f>AND(#REF!,"AAAAAG17v9s=")</f>
        <v>#REF!</v>
      </c>
      <c r="HM73" t="e">
        <f>AND(#REF!,"AAAAAG17v9w=")</f>
        <v>#REF!</v>
      </c>
      <c r="HN73" t="e">
        <f>AND(#REF!,"AAAAAG17v90=")</f>
        <v>#REF!</v>
      </c>
      <c r="HO73" t="e">
        <f>AND(#REF!,"AAAAAG17v94=")</f>
        <v>#REF!</v>
      </c>
      <c r="HP73" t="e">
        <f>AND(#REF!,"AAAAAG17v98=")</f>
        <v>#REF!</v>
      </c>
      <c r="HQ73" t="e">
        <f>AND(#REF!,"AAAAAG17v+A=")</f>
        <v>#REF!</v>
      </c>
      <c r="HR73" t="e">
        <f>AND(#REF!,"AAAAAG17v+E=")</f>
        <v>#REF!</v>
      </c>
      <c r="HS73" t="e">
        <f>AND(#REF!,"AAAAAG17v+I=")</f>
        <v>#REF!</v>
      </c>
      <c r="HT73" t="e">
        <f>AND(#REF!,"AAAAAG17v+M=")</f>
        <v>#REF!</v>
      </c>
      <c r="HU73" t="e">
        <f>AND(#REF!,"AAAAAG17v+Q=")</f>
        <v>#REF!</v>
      </c>
      <c r="HV73" t="e">
        <f>AND(#REF!,"AAAAAG17v+U=")</f>
        <v>#REF!</v>
      </c>
      <c r="HW73" t="e">
        <f>AND(#REF!,"AAAAAG17v+Y=")</f>
        <v>#REF!</v>
      </c>
      <c r="HX73" t="e">
        <f>AND(#REF!,"AAAAAG17v+c=")</f>
        <v>#REF!</v>
      </c>
      <c r="HY73" t="e">
        <f>AND(#REF!,"AAAAAG17v+g=")</f>
        <v>#REF!</v>
      </c>
      <c r="HZ73" t="e">
        <f>AND(#REF!,"AAAAAG17v+k=")</f>
        <v>#REF!</v>
      </c>
      <c r="IA73" t="e">
        <f>AND(#REF!,"AAAAAG17v+o=")</f>
        <v>#REF!</v>
      </c>
      <c r="IB73" t="e">
        <f>AND(#REF!,"AAAAAG17v+s=")</f>
        <v>#REF!</v>
      </c>
      <c r="IC73" t="e">
        <f>AND(#REF!,"AAAAAG17v+w=")</f>
        <v>#REF!</v>
      </c>
      <c r="ID73" t="e">
        <f>AND(#REF!,"AAAAAG17v+0=")</f>
        <v>#REF!</v>
      </c>
      <c r="IE73" t="e">
        <f>AND(#REF!,"AAAAAG17v+4=")</f>
        <v>#REF!</v>
      </c>
      <c r="IF73" t="e">
        <f>IF(#REF!,"AAAAAG17v+8=",0)</f>
        <v>#REF!</v>
      </c>
      <c r="IG73" t="e">
        <f>AND(#REF!,"AAAAAG17v/A=")</f>
        <v>#REF!</v>
      </c>
      <c r="IH73" t="e">
        <f>AND(#REF!,"AAAAAG17v/E=")</f>
        <v>#REF!</v>
      </c>
      <c r="II73" t="e">
        <f>AND(#REF!,"AAAAAG17v/I=")</f>
        <v>#REF!</v>
      </c>
      <c r="IJ73" t="e">
        <f>AND(#REF!,"AAAAAG17v/M=")</f>
        <v>#REF!</v>
      </c>
      <c r="IK73" t="e">
        <f>AND(#REF!,"AAAAAG17v/Q=")</f>
        <v>#REF!</v>
      </c>
      <c r="IL73" t="e">
        <f>AND(#REF!,"AAAAAG17v/U=")</f>
        <v>#REF!</v>
      </c>
      <c r="IM73" t="e">
        <f>AND(#REF!,"AAAAAG17v/Y=")</f>
        <v>#REF!</v>
      </c>
      <c r="IN73" t="e">
        <f>AND(#REF!,"AAAAAG17v/c=")</f>
        <v>#REF!</v>
      </c>
      <c r="IO73" t="e">
        <f>AND(#REF!,"AAAAAG17v/g=")</f>
        <v>#REF!</v>
      </c>
      <c r="IP73" t="e">
        <f>AND(#REF!,"AAAAAG17v/k=")</f>
        <v>#REF!</v>
      </c>
      <c r="IQ73" t="e">
        <f>AND(#REF!,"AAAAAG17v/o=")</f>
        <v>#REF!</v>
      </c>
      <c r="IR73" t="e">
        <f>AND(#REF!,"AAAAAG17v/s=")</f>
        <v>#REF!</v>
      </c>
      <c r="IS73" t="e">
        <f>AND(#REF!,"AAAAAG17v/w=")</f>
        <v>#REF!</v>
      </c>
      <c r="IT73" t="e">
        <f>AND(#REF!,"AAAAAG17v/0=")</f>
        <v>#REF!</v>
      </c>
      <c r="IU73" t="e">
        <f>AND(#REF!,"AAAAAG17v/4=")</f>
        <v>#REF!</v>
      </c>
      <c r="IV73" t="e">
        <f>AND(#REF!,"AAAAAG17v/8=")</f>
        <v>#REF!</v>
      </c>
    </row>
    <row r="74" spans="1:256" x14ac:dyDescent="0.2">
      <c r="A74" t="e">
        <f>AND(#REF!,"AAAAAH33vwA=")</f>
        <v>#REF!</v>
      </c>
      <c r="B74" t="e">
        <f>AND(#REF!,"AAAAAH33vwE=")</f>
        <v>#REF!</v>
      </c>
      <c r="C74" t="e">
        <f>AND(#REF!,"AAAAAH33vwI=")</f>
        <v>#REF!</v>
      </c>
      <c r="D74" t="e">
        <f>AND(#REF!,"AAAAAH33vwM=")</f>
        <v>#REF!</v>
      </c>
      <c r="E74" t="e">
        <f>AND(#REF!,"AAAAAH33vwQ=")</f>
        <v>#REF!</v>
      </c>
      <c r="F74" t="e">
        <f>AND(#REF!,"AAAAAH33vwU=")</f>
        <v>#REF!</v>
      </c>
      <c r="G74" t="e">
        <f>AND(#REF!,"AAAAAH33vwY=")</f>
        <v>#REF!</v>
      </c>
      <c r="H74" t="e">
        <f>AND(#REF!,"AAAAAH33vwc=")</f>
        <v>#REF!</v>
      </c>
      <c r="I74" t="e">
        <f>AND(#REF!,"AAAAAH33vwg=")</f>
        <v>#REF!</v>
      </c>
      <c r="J74" t="e">
        <f>AND(#REF!,"AAAAAH33vwk=")</f>
        <v>#REF!</v>
      </c>
      <c r="K74" t="e">
        <f>IF(#REF!,"AAAAAH33vwo=",0)</f>
        <v>#REF!</v>
      </c>
      <c r="L74" t="e">
        <f>AND(#REF!,"AAAAAH33vws=")</f>
        <v>#REF!</v>
      </c>
      <c r="M74" t="e">
        <f>AND(#REF!,"AAAAAH33vww=")</f>
        <v>#REF!</v>
      </c>
      <c r="N74" t="e">
        <f>AND(#REF!,"AAAAAH33vw0=")</f>
        <v>#REF!</v>
      </c>
      <c r="O74" t="e">
        <f>AND(#REF!,"AAAAAH33vw4=")</f>
        <v>#REF!</v>
      </c>
      <c r="P74" t="e">
        <f>AND(#REF!,"AAAAAH33vw8=")</f>
        <v>#REF!</v>
      </c>
      <c r="Q74" t="e">
        <f>AND(#REF!,"AAAAAH33vxA=")</f>
        <v>#REF!</v>
      </c>
      <c r="R74" t="e">
        <f>AND(#REF!,"AAAAAH33vxE=")</f>
        <v>#REF!</v>
      </c>
      <c r="S74" t="e">
        <f>AND(#REF!,"AAAAAH33vxI=")</f>
        <v>#REF!</v>
      </c>
      <c r="T74" t="e">
        <f>AND(#REF!,"AAAAAH33vxM=")</f>
        <v>#REF!</v>
      </c>
      <c r="U74" t="e">
        <f>AND(#REF!,"AAAAAH33vxQ=")</f>
        <v>#REF!</v>
      </c>
      <c r="V74" t="e">
        <f>AND(#REF!,"AAAAAH33vxU=")</f>
        <v>#REF!</v>
      </c>
      <c r="W74" t="e">
        <f>AND(#REF!,"AAAAAH33vxY=")</f>
        <v>#REF!</v>
      </c>
      <c r="X74" t="e">
        <f>AND(#REF!,"AAAAAH33vxc=")</f>
        <v>#REF!</v>
      </c>
      <c r="Y74" t="e">
        <f>AND(#REF!,"AAAAAH33vxg=")</f>
        <v>#REF!</v>
      </c>
      <c r="Z74" t="e">
        <f>AND(#REF!,"AAAAAH33vxk=")</f>
        <v>#REF!</v>
      </c>
      <c r="AA74" t="e">
        <f>AND(#REF!,"AAAAAH33vxo=")</f>
        <v>#REF!</v>
      </c>
      <c r="AB74" t="e">
        <f>AND(#REF!,"AAAAAH33vxs=")</f>
        <v>#REF!</v>
      </c>
      <c r="AC74" t="e">
        <f>AND(#REF!,"AAAAAH33vxw=")</f>
        <v>#REF!</v>
      </c>
      <c r="AD74" t="e">
        <f>AND(#REF!,"AAAAAH33vx0=")</f>
        <v>#REF!</v>
      </c>
      <c r="AE74" t="e">
        <f>AND(#REF!,"AAAAAH33vx4=")</f>
        <v>#REF!</v>
      </c>
      <c r="AF74" t="e">
        <f>AND(#REF!,"AAAAAH33vx8=")</f>
        <v>#REF!</v>
      </c>
      <c r="AG74" t="e">
        <f>AND(#REF!,"AAAAAH33vyA=")</f>
        <v>#REF!</v>
      </c>
      <c r="AH74" t="e">
        <f>AND(#REF!,"AAAAAH33vyE=")</f>
        <v>#REF!</v>
      </c>
      <c r="AI74" t="e">
        <f>AND(#REF!,"AAAAAH33vyI=")</f>
        <v>#REF!</v>
      </c>
      <c r="AJ74" t="e">
        <f>AND(#REF!,"AAAAAH33vyM=")</f>
        <v>#REF!</v>
      </c>
      <c r="AK74" t="e">
        <f>AND(#REF!,"AAAAAH33vyQ=")</f>
        <v>#REF!</v>
      </c>
      <c r="AL74" t="e">
        <f>IF(#REF!,"AAAAAH33vyU=",0)</f>
        <v>#REF!</v>
      </c>
      <c r="AM74" t="e">
        <f>AND(#REF!,"AAAAAH33vyY=")</f>
        <v>#REF!</v>
      </c>
      <c r="AN74" t="e">
        <f>AND(#REF!,"AAAAAH33vyc=")</f>
        <v>#REF!</v>
      </c>
      <c r="AO74" t="e">
        <f>AND(#REF!,"AAAAAH33vyg=")</f>
        <v>#REF!</v>
      </c>
      <c r="AP74" t="e">
        <f>AND(#REF!,"AAAAAH33vyk=")</f>
        <v>#REF!</v>
      </c>
      <c r="AQ74" t="e">
        <f>AND(#REF!,"AAAAAH33vyo=")</f>
        <v>#REF!</v>
      </c>
      <c r="AR74" t="e">
        <f>AND(#REF!,"AAAAAH33vys=")</f>
        <v>#REF!</v>
      </c>
      <c r="AS74" t="e">
        <f>AND(#REF!,"AAAAAH33vyw=")</f>
        <v>#REF!</v>
      </c>
      <c r="AT74" t="e">
        <f>AND(#REF!,"AAAAAH33vy0=")</f>
        <v>#REF!</v>
      </c>
      <c r="AU74" t="e">
        <f>AND(#REF!,"AAAAAH33vy4=")</f>
        <v>#REF!</v>
      </c>
      <c r="AV74" t="e">
        <f>AND(#REF!,"AAAAAH33vy8=")</f>
        <v>#REF!</v>
      </c>
      <c r="AW74" t="e">
        <f>AND(#REF!,"AAAAAH33vzA=")</f>
        <v>#REF!</v>
      </c>
      <c r="AX74" t="e">
        <f>AND(#REF!,"AAAAAH33vzE=")</f>
        <v>#REF!</v>
      </c>
      <c r="AY74" t="e">
        <f>AND(#REF!,"AAAAAH33vzI=")</f>
        <v>#REF!</v>
      </c>
      <c r="AZ74" t="e">
        <f>AND(#REF!,"AAAAAH33vzM=")</f>
        <v>#REF!</v>
      </c>
      <c r="BA74" t="e">
        <f>AND(#REF!,"AAAAAH33vzQ=")</f>
        <v>#REF!</v>
      </c>
      <c r="BB74" t="e">
        <f>AND(#REF!,"AAAAAH33vzU=")</f>
        <v>#REF!</v>
      </c>
      <c r="BC74" t="e">
        <f>AND(#REF!,"AAAAAH33vzY=")</f>
        <v>#REF!</v>
      </c>
      <c r="BD74" t="e">
        <f>AND(#REF!,"AAAAAH33vzc=")</f>
        <v>#REF!</v>
      </c>
      <c r="BE74" t="e">
        <f>AND(#REF!,"AAAAAH33vzg=")</f>
        <v>#REF!</v>
      </c>
      <c r="BF74" t="e">
        <f>AND(#REF!,"AAAAAH33vzk=")</f>
        <v>#REF!</v>
      </c>
      <c r="BG74" t="e">
        <f>AND(#REF!,"AAAAAH33vzo=")</f>
        <v>#REF!</v>
      </c>
      <c r="BH74" t="e">
        <f>AND(#REF!,"AAAAAH33vzs=")</f>
        <v>#REF!</v>
      </c>
      <c r="BI74" t="e">
        <f>AND(#REF!,"AAAAAH33vzw=")</f>
        <v>#REF!</v>
      </c>
      <c r="BJ74" t="e">
        <f>AND(#REF!,"AAAAAH33vz0=")</f>
        <v>#REF!</v>
      </c>
      <c r="BK74" t="e">
        <f>AND(#REF!,"AAAAAH33vz4=")</f>
        <v>#REF!</v>
      </c>
      <c r="BL74" t="e">
        <f>AND(#REF!,"AAAAAH33vz8=")</f>
        <v>#REF!</v>
      </c>
      <c r="BM74" t="e">
        <f>IF(#REF!,"AAAAAH33v0A=",0)</f>
        <v>#REF!</v>
      </c>
      <c r="BN74" t="e">
        <f>AND(#REF!,"AAAAAH33v0E=")</f>
        <v>#REF!</v>
      </c>
      <c r="BO74" t="e">
        <f>AND(#REF!,"AAAAAH33v0I=")</f>
        <v>#REF!</v>
      </c>
      <c r="BP74" t="e">
        <f>AND(#REF!,"AAAAAH33v0M=")</f>
        <v>#REF!</v>
      </c>
      <c r="BQ74" t="e">
        <f>AND(#REF!,"AAAAAH33v0Q=")</f>
        <v>#REF!</v>
      </c>
      <c r="BR74" t="e">
        <f>AND(#REF!,"AAAAAH33v0U=")</f>
        <v>#REF!</v>
      </c>
      <c r="BS74" t="e">
        <f>AND(#REF!,"AAAAAH33v0Y=")</f>
        <v>#REF!</v>
      </c>
      <c r="BT74" t="e">
        <f>AND(#REF!,"AAAAAH33v0c=")</f>
        <v>#REF!</v>
      </c>
      <c r="BU74" t="e">
        <f>AND(#REF!,"AAAAAH33v0g=")</f>
        <v>#REF!</v>
      </c>
      <c r="BV74" t="e">
        <f>AND(#REF!,"AAAAAH33v0k=")</f>
        <v>#REF!</v>
      </c>
      <c r="BW74" t="e">
        <f>AND(#REF!,"AAAAAH33v0o=")</f>
        <v>#REF!</v>
      </c>
      <c r="BX74" t="e">
        <f>AND(#REF!,"AAAAAH33v0s=")</f>
        <v>#REF!</v>
      </c>
      <c r="BY74" t="e">
        <f>AND(#REF!,"AAAAAH33v0w=")</f>
        <v>#REF!</v>
      </c>
      <c r="BZ74" t="e">
        <f>AND(#REF!,"AAAAAH33v00=")</f>
        <v>#REF!</v>
      </c>
      <c r="CA74" t="e">
        <f>AND(#REF!,"AAAAAH33v04=")</f>
        <v>#REF!</v>
      </c>
      <c r="CB74" t="e">
        <f>AND(#REF!,"AAAAAH33v08=")</f>
        <v>#REF!</v>
      </c>
      <c r="CC74" t="e">
        <f>AND(#REF!,"AAAAAH33v1A=")</f>
        <v>#REF!</v>
      </c>
      <c r="CD74" t="e">
        <f>AND(#REF!,"AAAAAH33v1E=")</f>
        <v>#REF!</v>
      </c>
      <c r="CE74" t="e">
        <f>AND(#REF!,"AAAAAH33v1I=")</f>
        <v>#REF!</v>
      </c>
      <c r="CF74" t="e">
        <f>AND(#REF!,"AAAAAH33v1M=")</f>
        <v>#REF!</v>
      </c>
      <c r="CG74" t="e">
        <f>AND(#REF!,"AAAAAH33v1Q=")</f>
        <v>#REF!</v>
      </c>
      <c r="CH74" t="e">
        <f>AND(#REF!,"AAAAAH33v1U=")</f>
        <v>#REF!</v>
      </c>
      <c r="CI74" t="e">
        <f>AND(#REF!,"AAAAAH33v1Y=")</f>
        <v>#REF!</v>
      </c>
      <c r="CJ74" t="e">
        <f>AND(#REF!,"AAAAAH33v1c=")</f>
        <v>#REF!</v>
      </c>
      <c r="CK74" t="e">
        <f>AND(#REF!,"AAAAAH33v1g=")</f>
        <v>#REF!</v>
      </c>
      <c r="CL74" t="e">
        <f>AND(#REF!,"AAAAAH33v1k=")</f>
        <v>#REF!</v>
      </c>
      <c r="CM74" t="e">
        <f>AND(#REF!,"AAAAAH33v1o=")</f>
        <v>#REF!</v>
      </c>
      <c r="CN74" t="e">
        <f>IF(#REF!,"AAAAAH33v1s=",0)</f>
        <v>#REF!</v>
      </c>
      <c r="CO74" t="e">
        <f>AND(#REF!,"AAAAAH33v1w=")</f>
        <v>#REF!</v>
      </c>
      <c r="CP74" t="e">
        <f>AND(#REF!,"AAAAAH33v10=")</f>
        <v>#REF!</v>
      </c>
      <c r="CQ74" t="e">
        <f>AND(#REF!,"AAAAAH33v14=")</f>
        <v>#REF!</v>
      </c>
      <c r="CR74" t="e">
        <f>AND(#REF!,"AAAAAH33v18=")</f>
        <v>#REF!</v>
      </c>
      <c r="CS74" t="e">
        <f>AND(#REF!,"AAAAAH33v2A=")</f>
        <v>#REF!</v>
      </c>
      <c r="CT74" t="e">
        <f>AND(#REF!,"AAAAAH33v2E=")</f>
        <v>#REF!</v>
      </c>
      <c r="CU74" t="e">
        <f>AND(#REF!,"AAAAAH33v2I=")</f>
        <v>#REF!</v>
      </c>
      <c r="CV74" t="e">
        <f>AND(#REF!,"AAAAAH33v2M=")</f>
        <v>#REF!</v>
      </c>
      <c r="CW74" t="e">
        <f>AND(#REF!,"AAAAAH33v2Q=")</f>
        <v>#REF!</v>
      </c>
      <c r="CX74" t="e">
        <f>AND(#REF!,"AAAAAH33v2U=")</f>
        <v>#REF!</v>
      </c>
      <c r="CY74" t="e">
        <f>AND(#REF!,"AAAAAH33v2Y=")</f>
        <v>#REF!</v>
      </c>
      <c r="CZ74" t="e">
        <f>AND(#REF!,"AAAAAH33v2c=")</f>
        <v>#REF!</v>
      </c>
      <c r="DA74" t="e">
        <f>AND(#REF!,"AAAAAH33v2g=")</f>
        <v>#REF!</v>
      </c>
      <c r="DB74" t="e">
        <f>AND(#REF!,"AAAAAH33v2k=")</f>
        <v>#REF!</v>
      </c>
      <c r="DC74" t="e">
        <f>AND(#REF!,"AAAAAH33v2o=")</f>
        <v>#REF!</v>
      </c>
      <c r="DD74" t="e">
        <f>AND(#REF!,"AAAAAH33v2s=")</f>
        <v>#REF!</v>
      </c>
      <c r="DE74" t="e">
        <f>AND(#REF!,"AAAAAH33v2w=")</f>
        <v>#REF!</v>
      </c>
      <c r="DF74" t="e">
        <f>AND(#REF!,"AAAAAH33v20=")</f>
        <v>#REF!</v>
      </c>
      <c r="DG74" t="e">
        <f>AND(#REF!,"AAAAAH33v24=")</f>
        <v>#REF!</v>
      </c>
      <c r="DH74" t="e">
        <f>AND(#REF!,"AAAAAH33v28=")</f>
        <v>#REF!</v>
      </c>
      <c r="DI74" t="e">
        <f>AND(#REF!,"AAAAAH33v3A=")</f>
        <v>#REF!</v>
      </c>
      <c r="DJ74" t="e">
        <f>AND(#REF!,"AAAAAH33v3E=")</f>
        <v>#REF!</v>
      </c>
      <c r="DK74" t="e">
        <f>AND(#REF!,"AAAAAH33v3I=")</f>
        <v>#REF!</v>
      </c>
      <c r="DL74" t="e">
        <f>AND(#REF!,"AAAAAH33v3M=")</f>
        <v>#REF!</v>
      </c>
      <c r="DM74" t="e">
        <f>AND(#REF!,"AAAAAH33v3Q=")</f>
        <v>#REF!</v>
      </c>
      <c r="DN74" t="e">
        <f>AND(#REF!,"AAAAAH33v3U=")</f>
        <v>#REF!</v>
      </c>
      <c r="DO74" t="e">
        <f>IF(#REF!,"AAAAAH33v3Y=",0)</f>
        <v>#REF!</v>
      </c>
      <c r="DP74" t="e">
        <f>AND(#REF!,"AAAAAH33v3c=")</f>
        <v>#REF!</v>
      </c>
      <c r="DQ74" t="e">
        <f>AND(#REF!,"AAAAAH33v3g=")</f>
        <v>#REF!</v>
      </c>
      <c r="DR74" t="e">
        <f>AND(#REF!,"AAAAAH33v3k=")</f>
        <v>#REF!</v>
      </c>
      <c r="DS74" t="e">
        <f>AND(#REF!,"AAAAAH33v3o=")</f>
        <v>#REF!</v>
      </c>
      <c r="DT74" t="e">
        <f>AND(#REF!,"AAAAAH33v3s=")</f>
        <v>#REF!</v>
      </c>
      <c r="DU74" t="e">
        <f>AND(#REF!,"AAAAAH33v3w=")</f>
        <v>#REF!</v>
      </c>
      <c r="DV74" t="e">
        <f>AND(#REF!,"AAAAAH33v30=")</f>
        <v>#REF!</v>
      </c>
      <c r="DW74" t="e">
        <f>AND(#REF!,"AAAAAH33v34=")</f>
        <v>#REF!</v>
      </c>
      <c r="DX74" t="e">
        <f>AND(#REF!,"AAAAAH33v38=")</f>
        <v>#REF!</v>
      </c>
      <c r="DY74" t="e">
        <f>AND(#REF!,"AAAAAH33v4A=")</f>
        <v>#REF!</v>
      </c>
      <c r="DZ74" t="e">
        <f>AND(#REF!,"AAAAAH33v4E=")</f>
        <v>#REF!</v>
      </c>
      <c r="EA74" t="e">
        <f>AND(#REF!,"AAAAAH33v4I=")</f>
        <v>#REF!</v>
      </c>
      <c r="EB74" t="e">
        <f>AND(#REF!,"AAAAAH33v4M=")</f>
        <v>#REF!</v>
      </c>
      <c r="EC74" t="e">
        <f>AND(#REF!,"AAAAAH33v4Q=")</f>
        <v>#REF!</v>
      </c>
      <c r="ED74" t="e">
        <f>AND(#REF!,"AAAAAH33v4U=")</f>
        <v>#REF!</v>
      </c>
      <c r="EE74" t="e">
        <f>AND(#REF!,"AAAAAH33v4Y=")</f>
        <v>#REF!</v>
      </c>
      <c r="EF74" t="e">
        <f>AND(#REF!,"AAAAAH33v4c=")</f>
        <v>#REF!</v>
      </c>
      <c r="EG74" t="e">
        <f>AND(#REF!,"AAAAAH33v4g=")</f>
        <v>#REF!</v>
      </c>
      <c r="EH74" t="e">
        <f>AND(#REF!,"AAAAAH33v4k=")</f>
        <v>#REF!</v>
      </c>
      <c r="EI74" t="e">
        <f>AND(#REF!,"AAAAAH33v4o=")</f>
        <v>#REF!</v>
      </c>
      <c r="EJ74" t="e">
        <f>AND(#REF!,"AAAAAH33v4s=")</f>
        <v>#REF!</v>
      </c>
      <c r="EK74" t="e">
        <f>AND(#REF!,"AAAAAH33v4w=")</f>
        <v>#REF!</v>
      </c>
      <c r="EL74" t="e">
        <f>AND(#REF!,"AAAAAH33v40=")</f>
        <v>#REF!</v>
      </c>
      <c r="EM74" t="e">
        <f>AND(#REF!,"AAAAAH33v44=")</f>
        <v>#REF!</v>
      </c>
      <c r="EN74" t="e">
        <f>AND(#REF!,"AAAAAH33v48=")</f>
        <v>#REF!</v>
      </c>
      <c r="EO74" t="e">
        <f>AND(#REF!,"AAAAAH33v5A=")</f>
        <v>#REF!</v>
      </c>
      <c r="EP74" t="e">
        <f>IF(#REF!,"AAAAAH33v5E=",0)</f>
        <v>#REF!</v>
      </c>
      <c r="EQ74" t="e">
        <f>AND(#REF!,"AAAAAH33v5I=")</f>
        <v>#REF!</v>
      </c>
      <c r="ER74" t="e">
        <f>AND(#REF!,"AAAAAH33v5M=")</f>
        <v>#REF!</v>
      </c>
      <c r="ES74" t="e">
        <f>AND(#REF!,"AAAAAH33v5Q=")</f>
        <v>#REF!</v>
      </c>
      <c r="ET74" t="e">
        <f>AND(#REF!,"AAAAAH33v5U=")</f>
        <v>#REF!</v>
      </c>
      <c r="EU74" t="e">
        <f>AND(#REF!,"AAAAAH33v5Y=")</f>
        <v>#REF!</v>
      </c>
      <c r="EV74" t="e">
        <f>AND(#REF!,"AAAAAH33v5c=")</f>
        <v>#REF!</v>
      </c>
      <c r="EW74" t="e">
        <f>AND(#REF!,"AAAAAH33v5g=")</f>
        <v>#REF!</v>
      </c>
      <c r="EX74" t="e">
        <f>AND(#REF!,"AAAAAH33v5k=")</f>
        <v>#REF!</v>
      </c>
      <c r="EY74" t="e">
        <f>AND(#REF!,"AAAAAH33v5o=")</f>
        <v>#REF!</v>
      </c>
      <c r="EZ74" t="e">
        <f>AND(#REF!,"AAAAAH33v5s=")</f>
        <v>#REF!</v>
      </c>
      <c r="FA74" t="e">
        <f>AND(#REF!,"AAAAAH33v5w=")</f>
        <v>#REF!</v>
      </c>
      <c r="FB74" t="e">
        <f>AND(#REF!,"AAAAAH33v50=")</f>
        <v>#REF!</v>
      </c>
      <c r="FC74" t="e">
        <f>AND(#REF!,"AAAAAH33v54=")</f>
        <v>#REF!</v>
      </c>
      <c r="FD74" t="e">
        <f>AND(#REF!,"AAAAAH33v58=")</f>
        <v>#REF!</v>
      </c>
      <c r="FE74" t="e">
        <f>AND(#REF!,"AAAAAH33v6A=")</f>
        <v>#REF!</v>
      </c>
      <c r="FF74" t="e">
        <f>AND(#REF!,"AAAAAH33v6E=")</f>
        <v>#REF!</v>
      </c>
      <c r="FG74" t="e">
        <f>AND(#REF!,"AAAAAH33v6I=")</f>
        <v>#REF!</v>
      </c>
      <c r="FH74" t="e">
        <f>AND(#REF!,"AAAAAH33v6M=")</f>
        <v>#REF!</v>
      </c>
      <c r="FI74" t="e">
        <f>AND(#REF!,"AAAAAH33v6Q=")</f>
        <v>#REF!</v>
      </c>
      <c r="FJ74" t="e">
        <f>AND(#REF!,"AAAAAH33v6U=")</f>
        <v>#REF!</v>
      </c>
      <c r="FK74" t="e">
        <f>AND(#REF!,"AAAAAH33v6Y=")</f>
        <v>#REF!</v>
      </c>
      <c r="FL74" t="e">
        <f>AND(#REF!,"AAAAAH33v6c=")</f>
        <v>#REF!</v>
      </c>
      <c r="FM74" t="e">
        <f>AND(#REF!,"AAAAAH33v6g=")</f>
        <v>#REF!</v>
      </c>
      <c r="FN74" t="e">
        <f>AND(#REF!,"AAAAAH33v6k=")</f>
        <v>#REF!</v>
      </c>
      <c r="FO74" t="e">
        <f>AND(#REF!,"AAAAAH33v6o=")</f>
        <v>#REF!</v>
      </c>
      <c r="FP74" t="e">
        <f>AND(#REF!,"AAAAAH33v6s=")</f>
        <v>#REF!</v>
      </c>
      <c r="FQ74" t="e">
        <f>IF(#REF!,"AAAAAH33v6w=",0)</f>
        <v>#REF!</v>
      </c>
      <c r="FR74" t="e">
        <f>AND(#REF!,"AAAAAH33v60=")</f>
        <v>#REF!</v>
      </c>
      <c r="FS74" t="e">
        <f>AND(#REF!,"AAAAAH33v64=")</f>
        <v>#REF!</v>
      </c>
      <c r="FT74" t="e">
        <f>AND(#REF!,"AAAAAH33v68=")</f>
        <v>#REF!</v>
      </c>
      <c r="FU74" t="e">
        <f>AND(#REF!,"AAAAAH33v7A=")</f>
        <v>#REF!</v>
      </c>
      <c r="FV74" t="e">
        <f>AND(#REF!,"AAAAAH33v7E=")</f>
        <v>#REF!</v>
      </c>
      <c r="FW74" t="e">
        <f>AND(#REF!,"AAAAAH33v7I=")</f>
        <v>#REF!</v>
      </c>
      <c r="FX74" t="e">
        <f>AND(#REF!,"AAAAAH33v7M=")</f>
        <v>#REF!</v>
      </c>
      <c r="FY74" t="e">
        <f>AND(#REF!,"AAAAAH33v7Q=")</f>
        <v>#REF!</v>
      </c>
      <c r="FZ74" t="e">
        <f>AND(#REF!,"AAAAAH33v7U=")</f>
        <v>#REF!</v>
      </c>
      <c r="GA74" t="e">
        <f>AND(#REF!,"AAAAAH33v7Y=")</f>
        <v>#REF!</v>
      </c>
      <c r="GB74" t="e">
        <f>AND(#REF!,"AAAAAH33v7c=")</f>
        <v>#REF!</v>
      </c>
      <c r="GC74" t="e">
        <f>AND(#REF!,"AAAAAH33v7g=")</f>
        <v>#REF!</v>
      </c>
      <c r="GD74" t="e">
        <f>AND(#REF!,"AAAAAH33v7k=")</f>
        <v>#REF!</v>
      </c>
      <c r="GE74" t="e">
        <f>AND(#REF!,"AAAAAH33v7o=")</f>
        <v>#REF!</v>
      </c>
      <c r="GF74" t="e">
        <f>AND(#REF!,"AAAAAH33v7s=")</f>
        <v>#REF!</v>
      </c>
      <c r="GG74" t="e">
        <f>AND(#REF!,"AAAAAH33v7w=")</f>
        <v>#REF!</v>
      </c>
      <c r="GH74" t="e">
        <f>AND(#REF!,"AAAAAH33v70=")</f>
        <v>#REF!</v>
      </c>
      <c r="GI74" t="e">
        <f>AND(#REF!,"AAAAAH33v74=")</f>
        <v>#REF!</v>
      </c>
      <c r="GJ74" t="e">
        <f>AND(#REF!,"AAAAAH33v78=")</f>
        <v>#REF!</v>
      </c>
      <c r="GK74" t="e">
        <f>AND(#REF!,"AAAAAH33v8A=")</f>
        <v>#REF!</v>
      </c>
      <c r="GL74" t="e">
        <f>AND(#REF!,"AAAAAH33v8E=")</f>
        <v>#REF!</v>
      </c>
      <c r="GM74" t="e">
        <f>AND(#REF!,"AAAAAH33v8I=")</f>
        <v>#REF!</v>
      </c>
      <c r="GN74" t="e">
        <f>AND(#REF!,"AAAAAH33v8M=")</f>
        <v>#REF!</v>
      </c>
      <c r="GO74" t="e">
        <f>AND(#REF!,"AAAAAH33v8Q=")</f>
        <v>#REF!</v>
      </c>
      <c r="GP74" t="e">
        <f>AND(#REF!,"AAAAAH33v8U=")</f>
        <v>#REF!</v>
      </c>
      <c r="GQ74" t="e">
        <f>AND(#REF!,"AAAAAH33v8Y=")</f>
        <v>#REF!</v>
      </c>
      <c r="GR74" t="e">
        <f>IF(#REF!,"AAAAAH33v8c=",0)</f>
        <v>#REF!</v>
      </c>
      <c r="GS74" t="e">
        <f>AND(#REF!,"AAAAAH33v8g=")</f>
        <v>#REF!</v>
      </c>
      <c r="GT74" t="e">
        <f>AND(#REF!,"AAAAAH33v8k=")</f>
        <v>#REF!</v>
      </c>
      <c r="GU74" t="e">
        <f>AND(#REF!,"AAAAAH33v8o=")</f>
        <v>#REF!</v>
      </c>
      <c r="GV74" t="e">
        <f>AND(#REF!,"AAAAAH33v8s=")</f>
        <v>#REF!</v>
      </c>
      <c r="GW74" t="e">
        <f>AND(#REF!,"AAAAAH33v8w=")</f>
        <v>#REF!</v>
      </c>
      <c r="GX74" t="e">
        <f>AND(#REF!,"AAAAAH33v80=")</f>
        <v>#REF!</v>
      </c>
      <c r="GY74" t="e">
        <f>AND(#REF!,"AAAAAH33v84=")</f>
        <v>#REF!</v>
      </c>
      <c r="GZ74" t="e">
        <f>AND(#REF!,"AAAAAH33v88=")</f>
        <v>#REF!</v>
      </c>
      <c r="HA74" t="e">
        <f>AND(#REF!,"AAAAAH33v9A=")</f>
        <v>#REF!</v>
      </c>
      <c r="HB74" t="e">
        <f>AND(#REF!,"AAAAAH33v9E=")</f>
        <v>#REF!</v>
      </c>
      <c r="HC74" t="e">
        <f>AND(#REF!,"AAAAAH33v9I=")</f>
        <v>#REF!</v>
      </c>
      <c r="HD74" t="e">
        <f>AND(#REF!,"AAAAAH33v9M=")</f>
        <v>#REF!</v>
      </c>
      <c r="HE74" t="e">
        <f>AND(#REF!,"AAAAAH33v9Q=")</f>
        <v>#REF!</v>
      </c>
      <c r="HF74" t="e">
        <f>AND(#REF!,"AAAAAH33v9U=")</f>
        <v>#REF!</v>
      </c>
      <c r="HG74" t="e">
        <f>AND(#REF!,"AAAAAH33v9Y=")</f>
        <v>#REF!</v>
      </c>
      <c r="HH74" t="e">
        <f>AND(#REF!,"AAAAAH33v9c=")</f>
        <v>#REF!</v>
      </c>
      <c r="HI74" t="e">
        <f>AND(#REF!,"AAAAAH33v9g=")</f>
        <v>#REF!</v>
      </c>
      <c r="HJ74" t="e">
        <f>AND(#REF!,"AAAAAH33v9k=")</f>
        <v>#REF!</v>
      </c>
      <c r="HK74" t="e">
        <f>AND(#REF!,"AAAAAH33v9o=")</f>
        <v>#REF!</v>
      </c>
      <c r="HL74" t="e">
        <f>AND(#REF!,"AAAAAH33v9s=")</f>
        <v>#REF!</v>
      </c>
      <c r="HM74" t="e">
        <f>AND(#REF!,"AAAAAH33v9w=")</f>
        <v>#REF!</v>
      </c>
      <c r="HN74" t="e">
        <f>AND(#REF!,"AAAAAH33v90=")</f>
        <v>#REF!</v>
      </c>
      <c r="HO74" t="e">
        <f>AND(#REF!,"AAAAAH33v94=")</f>
        <v>#REF!</v>
      </c>
      <c r="HP74" t="e">
        <f>AND(#REF!,"AAAAAH33v98=")</f>
        <v>#REF!</v>
      </c>
      <c r="HQ74" t="e">
        <f>AND(#REF!,"AAAAAH33v+A=")</f>
        <v>#REF!</v>
      </c>
      <c r="HR74" t="e">
        <f>AND(#REF!,"AAAAAH33v+E=")</f>
        <v>#REF!</v>
      </c>
      <c r="HS74" t="e">
        <f>IF(#REF!,"AAAAAH33v+I=",0)</f>
        <v>#REF!</v>
      </c>
      <c r="HT74" t="e">
        <f>AND(#REF!,"AAAAAH33v+M=")</f>
        <v>#REF!</v>
      </c>
      <c r="HU74" t="e">
        <f>AND(#REF!,"AAAAAH33v+Q=")</f>
        <v>#REF!</v>
      </c>
      <c r="HV74" t="e">
        <f>AND(#REF!,"AAAAAH33v+U=")</f>
        <v>#REF!</v>
      </c>
      <c r="HW74" t="e">
        <f>AND(#REF!,"AAAAAH33v+Y=")</f>
        <v>#REF!</v>
      </c>
      <c r="HX74" t="e">
        <f>AND(#REF!,"AAAAAH33v+c=")</f>
        <v>#REF!</v>
      </c>
      <c r="HY74" t="e">
        <f>AND(#REF!,"AAAAAH33v+g=")</f>
        <v>#REF!</v>
      </c>
      <c r="HZ74" t="e">
        <f>AND(#REF!,"AAAAAH33v+k=")</f>
        <v>#REF!</v>
      </c>
      <c r="IA74" t="e">
        <f>AND(#REF!,"AAAAAH33v+o=")</f>
        <v>#REF!</v>
      </c>
      <c r="IB74" t="e">
        <f>AND(#REF!,"AAAAAH33v+s=")</f>
        <v>#REF!</v>
      </c>
      <c r="IC74" t="e">
        <f>AND(#REF!,"AAAAAH33v+w=")</f>
        <v>#REF!</v>
      </c>
      <c r="ID74" t="e">
        <f>AND(#REF!,"AAAAAH33v+0=")</f>
        <v>#REF!</v>
      </c>
      <c r="IE74" t="e">
        <f>AND(#REF!,"AAAAAH33v+4=")</f>
        <v>#REF!</v>
      </c>
      <c r="IF74" t="e">
        <f>AND(#REF!,"AAAAAH33v+8=")</f>
        <v>#REF!</v>
      </c>
      <c r="IG74" t="e">
        <f>AND(#REF!,"AAAAAH33v/A=")</f>
        <v>#REF!</v>
      </c>
      <c r="IH74" t="e">
        <f>AND(#REF!,"AAAAAH33v/E=")</f>
        <v>#REF!</v>
      </c>
      <c r="II74" t="e">
        <f>AND(#REF!,"AAAAAH33v/I=")</f>
        <v>#REF!</v>
      </c>
      <c r="IJ74" t="e">
        <f>AND(#REF!,"AAAAAH33v/M=")</f>
        <v>#REF!</v>
      </c>
      <c r="IK74" t="e">
        <f>AND(#REF!,"AAAAAH33v/Q=")</f>
        <v>#REF!</v>
      </c>
      <c r="IL74" t="e">
        <f>AND(#REF!,"AAAAAH33v/U=")</f>
        <v>#REF!</v>
      </c>
      <c r="IM74" t="e">
        <f>AND(#REF!,"AAAAAH33v/Y=")</f>
        <v>#REF!</v>
      </c>
      <c r="IN74" t="e">
        <f>AND(#REF!,"AAAAAH33v/c=")</f>
        <v>#REF!</v>
      </c>
      <c r="IO74" t="e">
        <f>AND(#REF!,"AAAAAH33v/g=")</f>
        <v>#REF!</v>
      </c>
      <c r="IP74" t="e">
        <f>AND(#REF!,"AAAAAH33v/k=")</f>
        <v>#REF!</v>
      </c>
      <c r="IQ74" t="e">
        <f>AND(#REF!,"AAAAAH33v/o=")</f>
        <v>#REF!</v>
      </c>
      <c r="IR74" t="e">
        <f>AND(#REF!,"AAAAAH33v/s=")</f>
        <v>#REF!</v>
      </c>
      <c r="IS74" t="e">
        <f>AND(#REF!,"AAAAAH33v/w=")</f>
        <v>#REF!</v>
      </c>
      <c r="IT74" t="e">
        <f>IF(#REF!,"AAAAAH33v/0=",0)</f>
        <v>#REF!</v>
      </c>
      <c r="IU74" t="e">
        <f>AND(#REF!,"AAAAAH33v/4=")</f>
        <v>#REF!</v>
      </c>
      <c r="IV74" t="e">
        <f>AND(#REF!,"AAAAAH33v/8=")</f>
        <v>#REF!</v>
      </c>
    </row>
    <row r="75" spans="1:256" x14ac:dyDescent="0.2">
      <c r="A75" t="e">
        <f>AND(#REF!,"AAAAAF/3/QA=")</f>
        <v>#REF!</v>
      </c>
      <c r="B75" t="e">
        <f>AND(#REF!,"AAAAAF/3/QE=")</f>
        <v>#REF!</v>
      </c>
      <c r="C75" t="e">
        <f>AND(#REF!,"AAAAAF/3/QI=")</f>
        <v>#REF!</v>
      </c>
      <c r="D75" t="e">
        <f>AND(#REF!,"AAAAAF/3/QM=")</f>
        <v>#REF!</v>
      </c>
      <c r="E75" t="e">
        <f>AND(#REF!,"AAAAAF/3/QQ=")</f>
        <v>#REF!</v>
      </c>
      <c r="F75" t="e">
        <f>AND(#REF!,"AAAAAF/3/QU=")</f>
        <v>#REF!</v>
      </c>
      <c r="G75" t="e">
        <f>AND(#REF!,"AAAAAF/3/QY=")</f>
        <v>#REF!</v>
      </c>
      <c r="H75" t="e">
        <f>AND(#REF!,"AAAAAF/3/Qc=")</f>
        <v>#REF!</v>
      </c>
      <c r="I75" t="e">
        <f>AND(#REF!,"AAAAAF/3/Qg=")</f>
        <v>#REF!</v>
      </c>
      <c r="J75" t="e">
        <f>AND(#REF!,"AAAAAF/3/Qk=")</f>
        <v>#REF!</v>
      </c>
      <c r="K75" t="e">
        <f>AND(#REF!,"AAAAAF/3/Qo=")</f>
        <v>#REF!</v>
      </c>
      <c r="L75" t="e">
        <f>AND(#REF!,"AAAAAF/3/Qs=")</f>
        <v>#REF!</v>
      </c>
      <c r="M75" t="e">
        <f>AND(#REF!,"AAAAAF/3/Qw=")</f>
        <v>#REF!</v>
      </c>
      <c r="N75" t="e">
        <f>AND(#REF!,"AAAAAF/3/Q0=")</f>
        <v>#REF!</v>
      </c>
      <c r="O75" t="e">
        <f>AND(#REF!,"AAAAAF/3/Q4=")</f>
        <v>#REF!</v>
      </c>
      <c r="P75" t="e">
        <f>AND(#REF!,"AAAAAF/3/Q8=")</f>
        <v>#REF!</v>
      </c>
      <c r="Q75" t="e">
        <f>AND(#REF!,"AAAAAF/3/RA=")</f>
        <v>#REF!</v>
      </c>
      <c r="R75" t="e">
        <f>AND(#REF!,"AAAAAF/3/RE=")</f>
        <v>#REF!</v>
      </c>
      <c r="S75" t="e">
        <f>AND(#REF!,"AAAAAF/3/RI=")</f>
        <v>#REF!</v>
      </c>
      <c r="T75" t="e">
        <f>AND(#REF!,"AAAAAF/3/RM=")</f>
        <v>#REF!</v>
      </c>
      <c r="U75" t="e">
        <f>AND(#REF!,"AAAAAF/3/RQ=")</f>
        <v>#REF!</v>
      </c>
      <c r="V75" t="e">
        <f>AND(#REF!,"AAAAAF/3/RU=")</f>
        <v>#REF!</v>
      </c>
      <c r="W75" t="e">
        <f>AND(#REF!,"AAAAAF/3/RY=")</f>
        <v>#REF!</v>
      </c>
      <c r="X75" t="e">
        <f>AND(#REF!,"AAAAAF/3/Rc=")</f>
        <v>#REF!</v>
      </c>
      <c r="Y75" t="e">
        <f>IF(#REF!,"AAAAAF/3/Rg=",0)</f>
        <v>#REF!</v>
      </c>
      <c r="Z75" t="e">
        <f>AND(#REF!,"AAAAAF/3/Rk=")</f>
        <v>#REF!</v>
      </c>
      <c r="AA75" t="e">
        <f>AND(#REF!,"AAAAAF/3/Ro=")</f>
        <v>#REF!</v>
      </c>
      <c r="AB75" t="e">
        <f>AND(#REF!,"AAAAAF/3/Rs=")</f>
        <v>#REF!</v>
      </c>
      <c r="AC75" t="e">
        <f>AND(#REF!,"AAAAAF/3/Rw=")</f>
        <v>#REF!</v>
      </c>
      <c r="AD75" t="e">
        <f>AND(#REF!,"AAAAAF/3/R0=")</f>
        <v>#REF!</v>
      </c>
      <c r="AE75" t="e">
        <f>AND(#REF!,"AAAAAF/3/R4=")</f>
        <v>#REF!</v>
      </c>
      <c r="AF75" t="e">
        <f>AND(#REF!,"AAAAAF/3/R8=")</f>
        <v>#REF!</v>
      </c>
      <c r="AG75" t="e">
        <f>AND(#REF!,"AAAAAF/3/SA=")</f>
        <v>#REF!</v>
      </c>
      <c r="AH75" t="e">
        <f>AND(#REF!,"AAAAAF/3/SE=")</f>
        <v>#REF!</v>
      </c>
      <c r="AI75" t="e">
        <f>AND(#REF!,"AAAAAF/3/SI=")</f>
        <v>#REF!</v>
      </c>
      <c r="AJ75" t="e">
        <f>AND(#REF!,"AAAAAF/3/SM=")</f>
        <v>#REF!</v>
      </c>
      <c r="AK75" t="e">
        <f>AND(#REF!,"AAAAAF/3/SQ=")</f>
        <v>#REF!</v>
      </c>
      <c r="AL75" t="e">
        <f>AND(#REF!,"AAAAAF/3/SU=")</f>
        <v>#REF!</v>
      </c>
      <c r="AM75" t="e">
        <f>AND(#REF!,"AAAAAF/3/SY=")</f>
        <v>#REF!</v>
      </c>
      <c r="AN75" t="e">
        <f>AND(#REF!,"AAAAAF/3/Sc=")</f>
        <v>#REF!</v>
      </c>
      <c r="AO75" t="e">
        <f>AND(#REF!,"AAAAAF/3/Sg=")</f>
        <v>#REF!</v>
      </c>
      <c r="AP75" t="e">
        <f>AND(#REF!,"AAAAAF/3/Sk=")</f>
        <v>#REF!</v>
      </c>
      <c r="AQ75" t="e">
        <f>AND(#REF!,"AAAAAF/3/So=")</f>
        <v>#REF!</v>
      </c>
      <c r="AR75" t="e">
        <f>AND(#REF!,"AAAAAF/3/Ss=")</f>
        <v>#REF!</v>
      </c>
      <c r="AS75" t="e">
        <f>AND(#REF!,"AAAAAF/3/Sw=")</f>
        <v>#REF!</v>
      </c>
      <c r="AT75" t="e">
        <f>AND(#REF!,"AAAAAF/3/S0=")</f>
        <v>#REF!</v>
      </c>
      <c r="AU75" t="e">
        <f>AND(#REF!,"AAAAAF/3/S4=")</f>
        <v>#REF!</v>
      </c>
      <c r="AV75" t="e">
        <f>AND(#REF!,"AAAAAF/3/S8=")</f>
        <v>#REF!</v>
      </c>
      <c r="AW75" t="e">
        <f>AND(#REF!,"AAAAAF/3/TA=")</f>
        <v>#REF!</v>
      </c>
      <c r="AX75" t="e">
        <f>AND(#REF!,"AAAAAF/3/TE=")</f>
        <v>#REF!</v>
      </c>
      <c r="AY75" t="e">
        <f>AND(#REF!,"AAAAAF/3/TI=")</f>
        <v>#REF!</v>
      </c>
      <c r="AZ75" t="e">
        <f>IF(#REF!,"AAAAAF/3/TM=",0)</f>
        <v>#REF!</v>
      </c>
      <c r="BA75" t="e">
        <f>AND(#REF!,"AAAAAF/3/TQ=")</f>
        <v>#REF!</v>
      </c>
      <c r="BB75" t="e">
        <f>AND(#REF!,"AAAAAF/3/TU=")</f>
        <v>#REF!</v>
      </c>
      <c r="BC75" t="e">
        <f>AND(#REF!,"AAAAAF/3/TY=")</f>
        <v>#REF!</v>
      </c>
      <c r="BD75" t="e">
        <f>AND(#REF!,"AAAAAF/3/Tc=")</f>
        <v>#REF!</v>
      </c>
      <c r="BE75" t="e">
        <f>AND(#REF!,"AAAAAF/3/Tg=")</f>
        <v>#REF!</v>
      </c>
      <c r="BF75" t="e">
        <f>AND(#REF!,"AAAAAF/3/Tk=")</f>
        <v>#REF!</v>
      </c>
      <c r="BG75" t="e">
        <f>AND(#REF!,"AAAAAF/3/To=")</f>
        <v>#REF!</v>
      </c>
      <c r="BH75" t="e">
        <f>AND(#REF!,"AAAAAF/3/Ts=")</f>
        <v>#REF!</v>
      </c>
      <c r="BI75" t="e">
        <f>AND(#REF!,"AAAAAF/3/Tw=")</f>
        <v>#REF!</v>
      </c>
      <c r="BJ75" t="e">
        <f>AND(#REF!,"AAAAAF/3/T0=")</f>
        <v>#REF!</v>
      </c>
      <c r="BK75" t="e">
        <f>AND(#REF!,"AAAAAF/3/T4=")</f>
        <v>#REF!</v>
      </c>
      <c r="BL75" t="e">
        <f>AND(#REF!,"AAAAAF/3/T8=")</f>
        <v>#REF!</v>
      </c>
      <c r="BM75" t="e">
        <f>AND(#REF!,"AAAAAF/3/UA=")</f>
        <v>#REF!</v>
      </c>
      <c r="BN75" t="e">
        <f>AND(#REF!,"AAAAAF/3/UE=")</f>
        <v>#REF!</v>
      </c>
      <c r="BO75" t="e">
        <f>AND(#REF!,"AAAAAF/3/UI=")</f>
        <v>#REF!</v>
      </c>
      <c r="BP75" t="e">
        <f>AND(#REF!,"AAAAAF/3/UM=")</f>
        <v>#REF!</v>
      </c>
      <c r="BQ75" t="e">
        <f>AND(#REF!,"AAAAAF/3/UQ=")</f>
        <v>#REF!</v>
      </c>
      <c r="BR75" t="e">
        <f>AND(#REF!,"AAAAAF/3/UU=")</f>
        <v>#REF!</v>
      </c>
      <c r="BS75" t="e">
        <f>AND(#REF!,"AAAAAF/3/UY=")</f>
        <v>#REF!</v>
      </c>
      <c r="BT75" t="e">
        <f>AND(#REF!,"AAAAAF/3/Uc=")</f>
        <v>#REF!</v>
      </c>
      <c r="BU75" t="e">
        <f>AND(#REF!,"AAAAAF/3/Ug=")</f>
        <v>#REF!</v>
      </c>
      <c r="BV75" t="e">
        <f>AND(#REF!,"AAAAAF/3/Uk=")</f>
        <v>#REF!</v>
      </c>
      <c r="BW75" t="e">
        <f>AND(#REF!,"AAAAAF/3/Uo=")</f>
        <v>#REF!</v>
      </c>
      <c r="BX75" t="e">
        <f>AND(#REF!,"AAAAAF/3/Us=")</f>
        <v>#REF!</v>
      </c>
      <c r="BY75" t="e">
        <f>AND(#REF!,"AAAAAF/3/Uw=")</f>
        <v>#REF!</v>
      </c>
      <c r="BZ75" t="e">
        <f>AND(#REF!,"AAAAAF/3/U0=")</f>
        <v>#REF!</v>
      </c>
      <c r="CA75" t="e">
        <f>IF(#REF!,"AAAAAF/3/U4=",0)</f>
        <v>#REF!</v>
      </c>
      <c r="CB75" t="e">
        <f>AND(#REF!,"AAAAAF/3/U8=")</f>
        <v>#REF!</v>
      </c>
      <c r="CC75" t="e">
        <f>AND(#REF!,"AAAAAF/3/VA=")</f>
        <v>#REF!</v>
      </c>
      <c r="CD75" t="e">
        <f>AND(#REF!,"AAAAAF/3/VE=")</f>
        <v>#REF!</v>
      </c>
      <c r="CE75" t="e">
        <f>AND(#REF!,"AAAAAF/3/VI=")</f>
        <v>#REF!</v>
      </c>
      <c r="CF75" t="e">
        <f>AND(#REF!,"AAAAAF/3/VM=")</f>
        <v>#REF!</v>
      </c>
      <c r="CG75" t="e">
        <f>AND(#REF!,"AAAAAF/3/VQ=")</f>
        <v>#REF!</v>
      </c>
      <c r="CH75" t="e">
        <f>AND(#REF!,"AAAAAF/3/VU=")</f>
        <v>#REF!</v>
      </c>
      <c r="CI75" t="e">
        <f>AND(#REF!,"AAAAAF/3/VY=")</f>
        <v>#REF!</v>
      </c>
      <c r="CJ75" t="e">
        <f>AND(#REF!,"AAAAAF/3/Vc=")</f>
        <v>#REF!</v>
      </c>
      <c r="CK75" t="e">
        <f>AND(#REF!,"AAAAAF/3/Vg=")</f>
        <v>#REF!</v>
      </c>
      <c r="CL75" t="e">
        <f>AND(#REF!,"AAAAAF/3/Vk=")</f>
        <v>#REF!</v>
      </c>
      <c r="CM75" t="e">
        <f>AND(#REF!,"AAAAAF/3/Vo=")</f>
        <v>#REF!</v>
      </c>
      <c r="CN75" t="e">
        <f>AND(#REF!,"AAAAAF/3/Vs=")</f>
        <v>#REF!</v>
      </c>
      <c r="CO75" t="e">
        <f>AND(#REF!,"AAAAAF/3/Vw=")</f>
        <v>#REF!</v>
      </c>
      <c r="CP75" t="e">
        <f>AND(#REF!,"AAAAAF/3/V0=")</f>
        <v>#REF!</v>
      </c>
      <c r="CQ75" t="e">
        <f>AND(#REF!,"AAAAAF/3/V4=")</f>
        <v>#REF!</v>
      </c>
      <c r="CR75" t="e">
        <f>AND(#REF!,"AAAAAF/3/V8=")</f>
        <v>#REF!</v>
      </c>
      <c r="CS75" t="e">
        <f>AND(#REF!,"AAAAAF/3/WA=")</f>
        <v>#REF!</v>
      </c>
      <c r="CT75" t="e">
        <f>AND(#REF!,"AAAAAF/3/WE=")</f>
        <v>#REF!</v>
      </c>
      <c r="CU75" t="e">
        <f>AND(#REF!,"AAAAAF/3/WI=")</f>
        <v>#REF!</v>
      </c>
      <c r="CV75" t="e">
        <f>AND(#REF!,"AAAAAF/3/WM=")</f>
        <v>#REF!</v>
      </c>
      <c r="CW75" t="e">
        <f>AND(#REF!,"AAAAAF/3/WQ=")</f>
        <v>#REF!</v>
      </c>
      <c r="CX75" t="e">
        <f>AND(#REF!,"AAAAAF/3/WU=")</f>
        <v>#REF!</v>
      </c>
      <c r="CY75" t="e">
        <f>AND(#REF!,"AAAAAF/3/WY=")</f>
        <v>#REF!</v>
      </c>
      <c r="CZ75" t="e">
        <f>AND(#REF!,"AAAAAF/3/Wc=")</f>
        <v>#REF!</v>
      </c>
      <c r="DA75" t="e">
        <f>AND(#REF!,"AAAAAF/3/Wg=")</f>
        <v>#REF!</v>
      </c>
      <c r="DB75" t="e">
        <f>IF(#REF!,"AAAAAF/3/Wk=",0)</f>
        <v>#REF!</v>
      </c>
      <c r="DC75" t="e">
        <f>AND(#REF!,"AAAAAF/3/Wo=")</f>
        <v>#REF!</v>
      </c>
      <c r="DD75" t="e">
        <f>AND(#REF!,"AAAAAF/3/Ws=")</f>
        <v>#REF!</v>
      </c>
      <c r="DE75" t="e">
        <f>AND(#REF!,"AAAAAF/3/Ww=")</f>
        <v>#REF!</v>
      </c>
      <c r="DF75" t="e">
        <f>AND(#REF!,"AAAAAF/3/W0=")</f>
        <v>#REF!</v>
      </c>
      <c r="DG75" t="e">
        <f>AND(#REF!,"AAAAAF/3/W4=")</f>
        <v>#REF!</v>
      </c>
      <c r="DH75" t="e">
        <f>AND(#REF!,"AAAAAF/3/W8=")</f>
        <v>#REF!</v>
      </c>
      <c r="DI75" t="e">
        <f>AND(#REF!,"AAAAAF/3/XA=")</f>
        <v>#REF!</v>
      </c>
      <c r="DJ75" t="e">
        <f>AND(#REF!,"AAAAAF/3/XE=")</f>
        <v>#REF!</v>
      </c>
      <c r="DK75" t="e">
        <f>AND(#REF!,"AAAAAF/3/XI=")</f>
        <v>#REF!</v>
      </c>
      <c r="DL75" t="e">
        <f>AND(#REF!,"AAAAAF/3/XM=")</f>
        <v>#REF!</v>
      </c>
      <c r="DM75" t="e">
        <f>AND(#REF!,"AAAAAF/3/XQ=")</f>
        <v>#REF!</v>
      </c>
      <c r="DN75" t="e">
        <f>AND(#REF!,"AAAAAF/3/XU=")</f>
        <v>#REF!</v>
      </c>
      <c r="DO75" t="e">
        <f>AND(#REF!,"AAAAAF/3/XY=")</f>
        <v>#REF!</v>
      </c>
      <c r="DP75" t="e">
        <f>AND(#REF!,"AAAAAF/3/Xc=")</f>
        <v>#REF!</v>
      </c>
      <c r="DQ75" t="e">
        <f>AND(#REF!,"AAAAAF/3/Xg=")</f>
        <v>#REF!</v>
      </c>
      <c r="DR75" t="e">
        <f>AND(#REF!,"AAAAAF/3/Xk=")</f>
        <v>#REF!</v>
      </c>
      <c r="DS75" t="e">
        <f>AND(#REF!,"AAAAAF/3/Xo=")</f>
        <v>#REF!</v>
      </c>
      <c r="DT75" t="e">
        <f>AND(#REF!,"AAAAAF/3/Xs=")</f>
        <v>#REF!</v>
      </c>
      <c r="DU75" t="e">
        <f>AND(#REF!,"AAAAAF/3/Xw=")</f>
        <v>#REF!</v>
      </c>
      <c r="DV75" t="e">
        <f>AND(#REF!,"AAAAAF/3/X0=")</f>
        <v>#REF!</v>
      </c>
      <c r="DW75" t="e">
        <f>AND(#REF!,"AAAAAF/3/X4=")</f>
        <v>#REF!</v>
      </c>
      <c r="DX75" t="e">
        <f>AND(#REF!,"AAAAAF/3/X8=")</f>
        <v>#REF!</v>
      </c>
      <c r="DY75" t="e">
        <f>AND(#REF!,"AAAAAF/3/YA=")</f>
        <v>#REF!</v>
      </c>
      <c r="DZ75" t="e">
        <f>AND(#REF!,"AAAAAF/3/YE=")</f>
        <v>#REF!</v>
      </c>
      <c r="EA75" t="e">
        <f>AND(#REF!,"AAAAAF/3/YI=")</f>
        <v>#REF!</v>
      </c>
      <c r="EB75" t="e">
        <f>AND(#REF!,"AAAAAF/3/YM=")</f>
        <v>#REF!</v>
      </c>
      <c r="EC75" t="e">
        <f>IF(#REF!,"AAAAAF/3/YQ=",0)</f>
        <v>#REF!</v>
      </c>
      <c r="ED75" t="e">
        <f>AND(#REF!,"AAAAAF/3/YU=")</f>
        <v>#REF!</v>
      </c>
      <c r="EE75" t="e">
        <f>AND(#REF!,"AAAAAF/3/YY=")</f>
        <v>#REF!</v>
      </c>
      <c r="EF75" t="e">
        <f>AND(#REF!,"AAAAAF/3/Yc=")</f>
        <v>#REF!</v>
      </c>
      <c r="EG75" t="e">
        <f>AND(#REF!,"AAAAAF/3/Yg=")</f>
        <v>#REF!</v>
      </c>
      <c r="EH75" t="e">
        <f>AND(#REF!,"AAAAAF/3/Yk=")</f>
        <v>#REF!</v>
      </c>
      <c r="EI75" t="e">
        <f>AND(#REF!,"AAAAAF/3/Yo=")</f>
        <v>#REF!</v>
      </c>
      <c r="EJ75" t="e">
        <f>AND(#REF!,"AAAAAF/3/Ys=")</f>
        <v>#REF!</v>
      </c>
      <c r="EK75" t="e">
        <f>AND(#REF!,"AAAAAF/3/Yw=")</f>
        <v>#REF!</v>
      </c>
      <c r="EL75" t="e">
        <f>AND(#REF!,"AAAAAF/3/Y0=")</f>
        <v>#REF!</v>
      </c>
      <c r="EM75" t="e">
        <f>AND(#REF!,"AAAAAF/3/Y4=")</f>
        <v>#REF!</v>
      </c>
      <c r="EN75" t="e">
        <f>AND(#REF!,"AAAAAF/3/Y8=")</f>
        <v>#REF!</v>
      </c>
      <c r="EO75" t="e">
        <f>AND(#REF!,"AAAAAF/3/ZA=")</f>
        <v>#REF!</v>
      </c>
      <c r="EP75" t="e">
        <f>AND(#REF!,"AAAAAF/3/ZE=")</f>
        <v>#REF!</v>
      </c>
      <c r="EQ75" t="e">
        <f>AND(#REF!,"AAAAAF/3/ZI=")</f>
        <v>#REF!</v>
      </c>
      <c r="ER75" t="e">
        <f>AND(#REF!,"AAAAAF/3/ZM=")</f>
        <v>#REF!</v>
      </c>
      <c r="ES75" t="e">
        <f>AND(#REF!,"AAAAAF/3/ZQ=")</f>
        <v>#REF!</v>
      </c>
      <c r="ET75" t="e">
        <f>AND(#REF!,"AAAAAF/3/ZU=")</f>
        <v>#REF!</v>
      </c>
      <c r="EU75" t="e">
        <f>AND(#REF!,"AAAAAF/3/ZY=")</f>
        <v>#REF!</v>
      </c>
      <c r="EV75" t="e">
        <f>AND(#REF!,"AAAAAF/3/Zc=")</f>
        <v>#REF!</v>
      </c>
      <c r="EW75" t="e">
        <f>AND(#REF!,"AAAAAF/3/Zg=")</f>
        <v>#REF!</v>
      </c>
      <c r="EX75" t="e">
        <f>AND(#REF!,"AAAAAF/3/Zk=")</f>
        <v>#REF!</v>
      </c>
      <c r="EY75" t="e">
        <f>AND(#REF!,"AAAAAF/3/Zo=")</f>
        <v>#REF!</v>
      </c>
      <c r="EZ75" t="e">
        <f>AND(#REF!,"AAAAAF/3/Zs=")</f>
        <v>#REF!</v>
      </c>
      <c r="FA75" t="e">
        <f>AND(#REF!,"AAAAAF/3/Zw=")</f>
        <v>#REF!</v>
      </c>
      <c r="FB75" t="e">
        <f>AND(#REF!,"AAAAAF/3/Z0=")</f>
        <v>#REF!</v>
      </c>
      <c r="FC75" t="e">
        <f>AND(#REF!,"AAAAAF/3/Z4=")</f>
        <v>#REF!</v>
      </c>
      <c r="FD75" t="e">
        <f>IF(#REF!,"AAAAAF/3/Z8=",0)</f>
        <v>#REF!</v>
      </c>
      <c r="FE75" t="e">
        <f>AND(#REF!,"AAAAAF/3/aA=")</f>
        <v>#REF!</v>
      </c>
      <c r="FF75" t="e">
        <f>AND(#REF!,"AAAAAF/3/aE=")</f>
        <v>#REF!</v>
      </c>
      <c r="FG75" t="e">
        <f>AND(#REF!,"AAAAAF/3/aI=")</f>
        <v>#REF!</v>
      </c>
      <c r="FH75" t="e">
        <f>AND(#REF!,"AAAAAF/3/aM=")</f>
        <v>#REF!</v>
      </c>
      <c r="FI75" t="e">
        <f>AND(#REF!,"AAAAAF/3/aQ=")</f>
        <v>#REF!</v>
      </c>
      <c r="FJ75" t="e">
        <f>AND(#REF!,"AAAAAF/3/aU=")</f>
        <v>#REF!</v>
      </c>
      <c r="FK75" t="e">
        <f>AND(#REF!,"AAAAAF/3/aY=")</f>
        <v>#REF!</v>
      </c>
      <c r="FL75" t="e">
        <f>AND(#REF!,"AAAAAF/3/ac=")</f>
        <v>#REF!</v>
      </c>
      <c r="FM75" t="e">
        <f>AND(#REF!,"AAAAAF/3/ag=")</f>
        <v>#REF!</v>
      </c>
      <c r="FN75" t="e">
        <f>AND(#REF!,"AAAAAF/3/ak=")</f>
        <v>#REF!</v>
      </c>
      <c r="FO75" t="e">
        <f>AND(#REF!,"AAAAAF/3/ao=")</f>
        <v>#REF!</v>
      </c>
      <c r="FP75" t="e">
        <f>AND(#REF!,"AAAAAF/3/as=")</f>
        <v>#REF!</v>
      </c>
      <c r="FQ75" t="e">
        <f>AND(#REF!,"AAAAAF/3/aw=")</f>
        <v>#REF!</v>
      </c>
      <c r="FR75" t="e">
        <f>AND(#REF!,"AAAAAF/3/a0=")</f>
        <v>#REF!</v>
      </c>
      <c r="FS75" t="e">
        <f>AND(#REF!,"AAAAAF/3/a4=")</f>
        <v>#REF!</v>
      </c>
      <c r="FT75" t="e">
        <f>AND(#REF!,"AAAAAF/3/a8=")</f>
        <v>#REF!</v>
      </c>
      <c r="FU75" t="e">
        <f>AND(#REF!,"AAAAAF/3/bA=")</f>
        <v>#REF!</v>
      </c>
      <c r="FV75" t="e">
        <f>AND(#REF!,"AAAAAF/3/bE=")</f>
        <v>#REF!</v>
      </c>
      <c r="FW75" t="e">
        <f>AND(#REF!,"AAAAAF/3/bI=")</f>
        <v>#REF!</v>
      </c>
      <c r="FX75" t="e">
        <f>AND(#REF!,"AAAAAF/3/bM=")</f>
        <v>#REF!</v>
      </c>
      <c r="FY75" t="e">
        <f>AND(#REF!,"AAAAAF/3/bQ=")</f>
        <v>#REF!</v>
      </c>
      <c r="FZ75" t="e">
        <f>AND(#REF!,"AAAAAF/3/bU=")</f>
        <v>#REF!</v>
      </c>
      <c r="GA75" t="e">
        <f>AND(#REF!,"AAAAAF/3/bY=")</f>
        <v>#REF!</v>
      </c>
      <c r="GB75" t="e">
        <f>AND(#REF!,"AAAAAF/3/bc=")</f>
        <v>#REF!</v>
      </c>
      <c r="GC75" t="e">
        <f>AND(#REF!,"AAAAAF/3/bg=")</f>
        <v>#REF!</v>
      </c>
      <c r="GD75" t="e">
        <f>AND(#REF!,"AAAAAF/3/bk=")</f>
        <v>#REF!</v>
      </c>
      <c r="GE75" t="e">
        <f>IF(#REF!,"AAAAAF/3/bo=",0)</f>
        <v>#REF!</v>
      </c>
      <c r="GF75" t="e">
        <f>AND(#REF!,"AAAAAF/3/bs=")</f>
        <v>#REF!</v>
      </c>
      <c r="GG75" t="e">
        <f>AND(#REF!,"AAAAAF/3/bw=")</f>
        <v>#REF!</v>
      </c>
      <c r="GH75" t="e">
        <f>AND(#REF!,"AAAAAF/3/b0=")</f>
        <v>#REF!</v>
      </c>
      <c r="GI75" t="e">
        <f>AND(#REF!,"AAAAAF/3/b4=")</f>
        <v>#REF!</v>
      </c>
      <c r="GJ75" t="e">
        <f>AND(#REF!,"AAAAAF/3/b8=")</f>
        <v>#REF!</v>
      </c>
      <c r="GK75" t="e">
        <f>AND(#REF!,"AAAAAF/3/cA=")</f>
        <v>#REF!</v>
      </c>
      <c r="GL75" t="e">
        <f>AND(#REF!,"AAAAAF/3/cE=")</f>
        <v>#REF!</v>
      </c>
      <c r="GM75" t="e">
        <f>AND(#REF!,"AAAAAF/3/cI=")</f>
        <v>#REF!</v>
      </c>
      <c r="GN75" t="e">
        <f>AND(#REF!,"AAAAAF/3/cM=")</f>
        <v>#REF!</v>
      </c>
      <c r="GO75" t="e">
        <f>AND(#REF!,"AAAAAF/3/cQ=")</f>
        <v>#REF!</v>
      </c>
      <c r="GP75" t="e">
        <f>AND(#REF!,"AAAAAF/3/cU=")</f>
        <v>#REF!</v>
      </c>
      <c r="GQ75" t="e">
        <f>AND(#REF!,"AAAAAF/3/cY=")</f>
        <v>#REF!</v>
      </c>
      <c r="GR75" t="e">
        <f>AND(#REF!,"AAAAAF/3/cc=")</f>
        <v>#REF!</v>
      </c>
      <c r="GS75" t="e">
        <f>AND(#REF!,"AAAAAF/3/cg=")</f>
        <v>#REF!</v>
      </c>
      <c r="GT75" t="e">
        <f>AND(#REF!,"AAAAAF/3/ck=")</f>
        <v>#REF!</v>
      </c>
      <c r="GU75" t="e">
        <f>AND(#REF!,"AAAAAF/3/co=")</f>
        <v>#REF!</v>
      </c>
      <c r="GV75" t="e">
        <f>AND(#REF!,"AAAAAF/3/cs=")</f>
        <v>#REF!</v>
      </c>
      <c r="GW75" t="e">
        <f>AND(#REF!,"AAAAAF/3/cw=")</f>
        <v>#REF!</v>
      </c>
      <c r="GX75" t="e">
        <f>AND(#REF!,"AAAAAF/3/c0=")</f>
        <v>#REF!</v>
      </c>
      <c r="GY75" t="e">
        <f>AND(#REF!,"AAAAAF/3/c4=")</f>
        <v>#REF!</v>
      </c>
      <c r="GZ75" t="e">
        <f>AND(#REF!,"AAAAAF/3/c8=")</f>
        <v>#REF!</v>
      </c>
      <c r="HA75" t="e">
        <f>AND(#REF!,"AAAAAF/3/dA=")</f>
        <v>#REF!</v>
      </c>
      <c r="HB75" t="e">
        <f>AND(#REF!,"AAAAAF/3/dE=")</f>
        <v>#REF!</v>
      </c>
      <c r="HC75" t="e">
        <f>AND(#REF!,"AAAAAF/3/dI=")</f>
        <v>#REF!</v>
      </c>
      <c r="HD75" t="e">
        <f>AND(#REF!,"AAAAAF/3/dM=")</f>
        <v>#REF!</v>
      </c>
      <c r="HE75" t="e">
        <f>AND(#REF!,"AAAAAF/3/dQ=")</f>
        <v>#REF!</v>
      </c>
      <c r="HF75" t="e">
        <f>IF(#REF!,"AAAAAF/3/dU=",0)</f>
        <v>#REF!</v>
      </c>
      <c r="HG75" t="e">
        <f>AND(#REF!,"AAAAAF/3/dY=")</f>
        <v>#REF!</v>
      </c>
      <c r="HH75" t="e">
        <f>AND(#REF!,"AAAAAF/3/dc=")</f>
        <v>#REF!</v>
      </c>
      <c r="HI75" t="e">
        <f>AND(#REF!,"AAAAAF/3/dg=")</f>
        <v>#REF!</v>
      </c>
      <c r="HJ75" t="e">
        <f>AND(#REF!,"AAAAAF/3/dk=")</f>
        <v>#REF!</v>
      </c>
      <c r="HK75" t="e">
        <f>AND(#REF!,"AAAAAF/3/do=")</f>
        <v>#REF!</v>
      </c>
      <c r="HL75" t="e">
        <f>AND(#REF!,"AAAAAF/3/ds=")</f>
        <v>#REF!</v>
      </c>
      <c r="HM75" t="e">
        <f>AND(#REF!,"AAAAAF/3/dw=")</f>
        <v>#REF!</v>
      </c>
      <c r="HN75" t="e">
        <f>AND(#REF!,"AAAAAF/3/d0=")</f>
        <v>#REF!</v>
      </c>
      <c r="HO75" t="e">
        <f>AND(#REF!,"AAAAAF/3/d4=")</f>
        <v>#REF!</v>
      </c>
      <c r="HP75" t="e">
        <f>AND(#REF!,"AAAAAF/3/d8=")</f>
        <v>#REF!</v>
      </c>
      <c r="HQ75" t="e">
        <f>AND(#REF!,"AAAAAF/3/eA=")</f>
        <v>#REF!</v>
      </c>
      <c r="HR75" t="e">
        <f>AND(#REF!,"AAAAAF/3/eE=")</f>
        <v>#REF!</v>
      </c>
      <c r="HS75" t="e">
        <f>AND(#REF!,"AAAAAF/3/eI=")</f>
        <v>#REF!</v>
      </c>
      <c r="HT75" t="e">
        <f>AND(#REF!,"AAAAAF/3/eM=")</f>
        <v>#REF!</v>
      </c>
      <c r="HU75" t="e">
        <f>AND(#REF!,"AAAAAF/3/eQ=")</f>
        <v>#REF!</v>
      </c>
      <c r="HV75" t="e">
        <f>AND(#REF!,"AAAAAF/3/eU=")</f>
        <v>#REF!</v>
      </c>
      <c r="HW75" t="e">
        <f>AND(#REF!,"AAAAAF/3/eY=")</f>
        <v>#REF!</v>
      </c>
      <c r="HX75" t="e">
        <f>AND(#REF!,"AAAAAF/3/ec=")</f>
        <v>#REF!</v>
      </c>
      <c r="HY75" t="e">
        <f>AND(#REF!,"AAAAAF/3/eg=")</f>
        <v>#REF!</v>
      </c>
      <c r="HZ75" t="e">
        <f>AND(#REF!,"AAAAAF/3/ek=")</f>
        <v>#REF!</v>
      </c>
      <c r="IA75" t="e">
        <f>AND(#REF!,"AAAAAF/3/eo=")</f>
        <v>#REF!</v>
      </c>
      <c r="IB75" t="e">
        <f>AND(#REF!,"AAAAAF/3/es=")</f>
        <v>#REF!</v>
      </c>
      <c r="IC75" t="e">
        <f>AND(#REF!,"AAAAAF/3/ew=")</f>
        <v>#REF!</v>
      </c>
      <c r="ID75" t="e">
        <f>AND(#REF!,"AAAAAF/3/e0=")</f>
        <v>#REF!</v>
      </c>
      <c r="IE75" t="e">
        <f>AND(#REF!,"AAAAAF/3/e4=")</f>
        <v>#REF!</v>
      </c>
      <c r="IF75" t="e">
        <f>AND(#REF!,"AAAAAF/3/e8=")</f>
        <v>#REF!</v>
      </c>
      <c r="IG75" t="e">
        <f>IF(#REF!,"AAAAAF/3/fA=",0)</f>
        <v>#REF!</v>
      </c>
      <c r="IH75" t="e">
        <f>AND(#REF!,"AAAAAF/3/fE=")</f>
        <v>#REF!</v>
      </c>
      <c r="II75" t="e">
        <f>AND(#REF!,"AAAAAF/3/fI=")</f>
        <v>#REF!</v>
      </c>
      <c r="IJ75" t="e">
        <f>AND(#REF!,"AAAAAF/3/fM=")</f>
        <v>#REF!</v>
      </c>
      <c r="IK75" t="e">
        <f>AND(#REF!,"AAAAAF/3/fQ=")</f>
        <v>#REF!</v>
      </c>
      <c r="IL75" t="e">
        <f>AND(#REF!,"AAAAAF/3/fU=")</f>
        <v>#REF!</v>
      </c>
      <c r="IM75" t="e">
        <f>AND(#REF!,"AAAAAF/3/fY=")</f>
        <v>#REF!</v>
      </c>
      <c r="IN75" t="e">
        <f>AND(#REF!,"AAAAAF/3/fc=")</f>
        <v>#REF!</v>
      </c>
      <c r="IO75" t="e">
        <f>AND(#REF!,"AAAAAF/3/fg=")</f>
        <v>#REF!</v>
      </c>
      <c r="IP75" t="e">
        <f>AND(#REF!,"AAAAAF/3/fk=")</f>
        <v>#REF!</v>
      </c>
      <c r="IQ75" t="e">
        <f>AND(#REF!,"AAAAAF/3/fo=")</f>
        <v>#REF!</v>
      </c>
      <c r="IR75" t="e">
        <f>AND(#REF!,"AAAAAF/3/fs=")</f>
        <v>#REF!</v>
      </c>
      <c r="IS75" t="e">
        <f>AND(#REF!,"AAAAAF/3/fw=")</f>
        <v>#REF!</v>
      </c>
      <c r="IT75" t="e">
        <f>AND(#REF!,"AAAAAF/3/f0=")</f>
        <v>#REF!</v>
      </c>
      <c r="IU75" t="e">
        <f>AND(#REF!,"AAAAAF/3/f4=")</f>
        <v>#REF!</v>
      </c>
      <c r="IV75" t="e">
        <f>AND(#REF!,"AAAAAF/3/f8=")</f>
        <v>#REF!</v>
      </c>
    </row>
    <row r="76" spans="1:256" x14ac:dyDescent="0.2">
      <c r="A76" t="e">
        <f>AND(#REF!,"AAAAAHj/XAA=")</f>
        <v>#REF!</v>
      </c>
      <c r="B76" t="e">
        <f>AND(#REF!,"AAAAAHj/XAE=")</f>
        <v>#REF!</v>
      </c>
      <c r="C76" t="e">
        <f>AND(#REF!,"AAAAAHj/XAI=")</f>
        <v>#REF!</v>
      </c>
      <c r="D76" t="e">
        <f>AND(#REF!,"AAAAAHj/XAM=")</f>
        <v>#REF!</v>
      </c>
      <c r="E76" t="e">
        <f>AND(#REF!,"AAAAAHj/XAQ=")</f>
        <v>#REF!</v>
      </c>
      <c r="F76" t="e">
        <f>AND(#REF!,"AAAAAHj/XAU=")</f>
        <v>#REF!</v>
      </c>
      <c r="G76" t="e">
        <f>AND(#REF!,"AAAAAHj/XAY=")</f>
        <v>#REF!</v>
      </c>
      <c r="H76" t="e">
        <f>AND(#REF!,"AAAAAHj/XAc=")</f>
        <v>#REF!</v>
      </c>
      <c r="I76" t="e">
        <f>AND(#REF!,"AAAAAHj/XAg=")</f>
        <v>#REF!</v>
      </c>
      <c r="J76" t="e">
        <f>AND(#REF!,"AAAAAHj/XAk=")</f>
        <v>#REF!</v>
      </c>
      <c r="K76" t="e">
        <f>AND(#REF!,"AAAAAHj/XAo=")</f>
        <v>#REF!</v>
      </c>
      <c r="L76" t="e">
        <f>IF(#REF!,"AAAAAHj/XAs=",0)</f>
        <v>#REF!</v>
      </c>
      <c r="M76" t="e">
        <f>AND(#REF!,"AAAAAHj/XAw=")</f>
        <v>#REF!</v>
      </c>
      <c r="N76" t="e">
        <f>AND(#REF!,"AAAAAHj/XA0=")</f>
        <v>#REF!</v>
      </c>
      <c r="O76" t="e">
        <f>AND(#REF!,"AAAAAHj/XA4=")</f>
        <v>#REF!</v>
      </c>
      <c r="P76" t="e">
        <f>AND(#REF!,"AAAAAHj/XA8=")</f>
        <v>#REF!</v>
      </c>
      <c r="Q76" t="e">
        <f>AND(#REF!,"AAAAAHj/XBA=")</f>
        <v>#REF!</v>
      </c>
      <c r="R76" t="e">
        <f>AND(#REF!,"AAAAAHj/XBE=")</f>
        <v>#REF!</v>
      </c>
      <c r="S76" t="e">
        <f>AND(#REF!,"AAAAAHj/XBI=")</f>
        <v>#REF!</v>
      </c>
      <c r="T76" t="e">
        <f>AND(#REF!,"AAAAAHj/XBM=")</f>
        <v>#REF!</v>
      </c>
      <c r="U76" t="e">
        <f>AND(#REF!,"AAAAAHj/XBQ=")</f>
        <v>#REF!</v>
      </c>
      <c r="V76" t="e">
        <f>AND(#REF!,"AAAAAHj/XBU=")</f>
        <v>#REF!</v>
      </c>
      <c r="W76" t="e">
        <f>AND(#REF!,"AAAAAHj/XBY=")</f>
        <v>#REF!</v>
      </c>
      <c r="X76" t="e">
        <f>AND(#REF!,"AAAAAHj/XBc=")</f>
        <v>#REF!</v>
      </c>
      <c r="Y76" t="e">
        <f>AND(#REF!,"AAAAAHj/XBg=")</f>
        <v>#REF!</v>
      </c>
      <c r="Z76" t="e">
        <f>AND(#REF!,"AAAAAHj/XBk=")</f>
        <v>#REF!</v>
      </c>
      <c r="AA76" t="e">
        <f>AND(#REF!,"AAAAAHj/XBo=")</f>
        <v>#REF!</v>
      </c>
      <c r="AB76" t="e">
        <f>AND(#REF!,"AAAAAHj/XBs=")</f>
        <v>#REF!</v>
      </c>
      <c r="AC76" t="e">
        <f>AND(#REF!,"AAAAAHj/XBw=")</f>
        <v>#REF!</v>
      </c>
      <c r="AD76" t="e">
        <f>AND(#REF!,"AAAAAHj/XB0=")</f>
        <v>#REF!</v>
      </c>
      <c r="AE76" t="e">
        <f>AND(#REF!,"AAAAAHj/XB4=")</f>
        <v>#REF!</v>
      </c>
      <c r="AF76" t="e">
        <f>AND(#REF!,"AAAAAHj/XB8=")</f>
        <v>#REF!</v>
      </c>
      <c r="AG76" t="e">
        <f>AND(#REF!,"AAAAAHj/XCA=")</f>
        <v>#REF!</v>
      </c>
      <c r="AH76" t="e">
        <f>AND(#REF!,"AAAAAHj/XCE=")</f>
        <v>#REF!</v>
      </c>
      <c r="AI76" t="e">
        <f>AND(#REF!,"AAAAAHj/XCI=")</f>
        <v>#REF!</v>
      </c>
      <c r="AJ76" t="e">
        <f>AND(#REF!,"AAAAAHj/XCM=")</f>
        <v>#REF!</v>
      </c>
      <c r="AK76" t="e">
        <f>AND(#REF!,"AAAAAHj/XCQ=")</f>
        <v>#REF!</v>
      </c>
      <c r="AL76" t="e">
        <f>AND(#REF!,"AAAAAHj/XCU=")</f>
        <v>#REF!</v>
      </c>
      <c r="AM76" t="e">
        <f>IF(#REF!,"AAAAAHj/XCY=",0)</f>
        <v>#REF!</v>
      </c>
      <c r="AN76" t="e">
        <f>AND(#REF!,"AAAAAHj/XCc=")</f>
        <v>#REF!</v>
      </c>
      <c r="AO76" t="e">
        <f>AND(#REF!,"AAAAAHj/XCg=")</f>
        <v>#REF!</v>
      </c>
      <c r="AP76" t="e">
        <f>AND(#REF!,"AAAAAHj/XCk=")</f>
        <v>#REF!</v>
      </c>
      <c r="AQ76" t="e">
        <f>AND(#REF!,"AAAAAHj/XCo=")</f>
        <v>#REF!</v>
      </c>
      <c r="AR76" t="e">
        <f>AND(#REF!,"AAAAAHj/XCs=")</f>
        <v>#REF!</v>
      </c>
      <c r="AS76" t="e">
        <f>AND(#REF!,"AAAAAHj/XCw=")</f>
        <v>#REF!</v>
      </c>
      <c r="AT76" t="e">
        <f>AND(#REF!,"AAAAAHj/XC0=")</f>
        <v>#REF!</v>
      </c>
      <c r="AU76" t="e">
        <f>AND(#REF!,"AAAAAHj/XC4=")</f>
        <v>#REF!</v>
      </c>
      <c r="AV76" t="e">
        <f>AND(#REF!,"AAAAAHj/XC8=")</f>
        <v>#REF!</v>
      </c>
      <c r="AW76" t="e">
        <f>AND(#REF!,"AAAAAHj/XDA=")</f>
        <v>#REF!</v>
      </c>
      <c r="AX76" t="e">
        <f>AND(#REF!,"AAAAAHj/XDE=")</f>
        <v>#REF!</v>
      </c>
      <c r="AY76" t="e">
        <f>AND(#REF!,"AAAAAHj/XDI=")</f>
        <v>#REF!</v>
      </c>
      <c r="AZ76" t="e">
        <f>AND(#REF!,"AAAAAHj/XDM=")</f>
        <v>#REF!</v>
      </c>
      <c r="BA76" t="e">
        <f>AND(#REF!,"AAAAAHj/XDQ=")</f>
        <v>#REF!</v>
      </c>
      <c r="BB76" t="e">
        <f>AND(#REF!,"AAAAAHj/XDU=")</f>
        <v>#REF!</v>
      </c>
      <c r="BC76" t="e">
        <f>AND(#REF!,"AAAAAHj/XDY=")</f>
        <v>#REF!</v>
      </c>
      <c r="BD76" t="e">
        <f>AND(#REF!,"AAAAAHj/XDc=")</f>
        <v>#REF!</v>
      </c>
      <c r="BE76" t="e">
        <f>AND(#REF!,"AAAAAHj/XDg=")</f>
        <v>#REF!</v>
      </c>
      <c r="BF76" t="e">
        <f>AND(#REF!,"AAAAAHj/XDk=")</f>
        <v>#REF!</v>
      </c>
      <c r="BG76" t="e">
        <f>AND(#REF!,"AAAAAHj/XDo=")</f>
        <v>#REF!</v>
      </c>
      <c r="BH76" t="e">
        <f>AND(#REF!,"AAAAAHj/XDs=")</f>
        <v>#REF!</v>
      </c>
      <c r="BI76" t="e">
        <f>AND(#REF!,"AAAAAHj/XDw=")</f>
        <v>#REF!</v>
      </c>
      <c r="BJ76" t="e">
        <f>AND(#REF!,"AAAAAHj/XD0=")</f>
        <v>#REF!</v>
      </c>
      <c r="BK76" t="e">
        <f>AND(#REF!,"AAAAAHj/XD4=")</f>
        <v>#REF!</v>
      </c>
      <c r="BL76" t="e">
        <f>AND(#REF!,"AAAAAHj/XD8=")</f>
        <v>#REF!</v>
      </c>
      <c r="BM76" t="e">
        <f>AND(#REF!,"AAAAAHj/XEA=")</f>
        <v>#REF!</v>
      </c>
      <c r="BN76" t="e">
        <f>IF(#REF!,"AAAAAHj/XEE=",0)</f>
        <v>#REF!</v>
      </c>
      <c r="BO76" t="e">
        <f>AND(#REF!,"AAAAAHj/XEI=")</f>
        <v>#REF!</v>
      </c>
      <c r="BP76" t="e">
        <f>AND(#REF!,"AAAAAHj/XEM=")</f>
        <v>#REF!</v>
      </c>
      <c r="BQ76" t="e">
        <f>AND(#REF!,"AAAAAHj/XEQ=")</f>
        <v>#REF!</v>
      </c>
      <c r="BR76" t="e">
        <f>AND(#REF!,"AAAAAHj/XEU=")</f>
        <v>#REF!</v>
      </c>
      <c r="BS76" t="e">
        <f>AND(#REF!,"AAAAAHj/XEY=")</f>
        <v>#REF!</v>
      </c>
      <c r="BT76" t="e">
        <f>AND(#REF!,"AAAAAHj/XEc=")</f>
        <v>#REF!</v>
      </c>
      <c r="BU76" t="e">
        <f>AND(#REF!,"AAAAAHj/XEg=")</f>
        <v>#REF!</v>
      </c>
      <c r="BV76" t="e">
        <f>AND(#REF!,"AAAAAHj/XEk=")</f>
        <v>#REF!</v>
      </c>
      <c r="BW76" t="e">
        <f>AND(#REF!,"AAAAAHj/XEo=")</f>
        <v>#REF!</v>
      </c>
      <c r="BX76" t="e">
        <f>AND(#REF!,"AAAAAHj/XEs=")</f>
        <v>#REF!</v>
      </c>
      <c r="BY76" t="e">
        <f>AND(#REF!,"AAAAAHj/XEw=")</f>
        <v>#REF!</v>
      </c>
      <c r="BZ76" t="e">
        <f>AND(#REF!,"AAAAAHj/XE0=")</f>
        <v>#REF!</v>
      </c>
      <c r="CA76" t="e">
        <f>AND(#REF!,"AAAAAHj/XE4=")</f>
        <v>#REF!</v>
      </c>
      <c r="CB76" t="e">
        <f>AND(#REF!,"AAAAAHj/XE8=")</f>
        <v>#REF!</v>
      </c>
      <c r="CC76" t="e">
        <f>AND(#REF!,"AAAAAHj/XFA=")</f>
        <v>#REF!</v>
      </c>
      <c r="CD76" t="e">
        <f>AND(#REF!,"AAAAAHj/XFE=")</f>
        <v>#REF!</v>
      </c>
      <c r="CE76" t="e">
        <f>AND(#REF!,"AAAAAHj/XFI=")</f>
        <v>#REF!</v>
      </c>
      <c r="CF76" t="e">
        <f>AND(#REF!,"AAAAAHj/XFM=")</f>
        <v>#REF!</v>
      </c>
      <c r="CG76" t="e">
        <f>AND(#REF!,"AAAAAHj/XFQ=")</f>
        <v>#REF!</v>
      </c>
      <c r="CH76" t="e">
        <f>AND(#REF!,"AAAAAHj/XFU=")</f>
        <v>#REF!</v>
      </c>
      <c r="CI76" t="e">
        <f>AND(#REF!,"AAAAAHj/XFY=")</f>
        <v>#REF!</v>
      </c>
      <c r="CJ76" t="e">
        <f>AND(#REF!,"AAAAAHj/XFc=")</f>
        <v>#REF!</v>
      </c>
      <c r="CK76" t="e">
        <f>AND(#REF!,"AAAAAHj/XFg=")</f>
        <v>#REF!</v>
      </c>
      <c r="CL76" t="e">
        <f>AND(#REF!,"AAAAAHj/XFk=")</f>
        <v>#REF!</v>
      </c>
      <c r="CM76" t="e">
        <f>AND(#REF!,"AAAAAHj/XFo=")</f>
        <v>#REF!</v>
      </c>
      <c r="CN76" t="e">
        <f>AND(#REF!,"AAAAAHj/XFs=")</f>
        <v>#REF!</v>
      </c>
      <c r="CO76" t="e">
        <f>IF(#REF!,"AAAAAHj/XFw=",0)</f>
        <v>#REF!</v>
      </c>
      <c r="CP76" t="e">
        <f>AND(#REF!,"AAAAAHj/XF0=")</f>
        <v>#REF!</v>
      </c>
      <c r="CQ76" t="e">
        <f>AND(#REF!,"AAAAAHj/XF4=")</f>
        <v>#REF!</v>
      </c>
      <c r="CR76" t="e">
        <f>AND(#REF!,"AAAAAHj/XF8=")</f>
        <v>#REF!</v>
      </c>
      <c r="CS76" t="e">
        <f>AND(#REF!,"AAAAAHj/XGA=")</f>
        <v>#REF!</v>
      </c>
      <c r="CT76" t="e">
        <f>AND(#REF!,"AAAAAHj/XGE=")</f>
        <v>#REF!</v>
      </c>
      <c r="CU76" t="e">
        <f>AND(#REF!,"AAAAAHj/XGI=")</f>
        <v>#REF!</v>
      </c>
      <c r="CV76" t="e">
        <f>AND(#REF!,"AAAAAHj/XGM=")</f>
        <v>#REF!</v>
      </c>
      <c r="CW76" t="e">
        <f>AND(#REF!,"AAAAAHj/XGQ=")</f>
        <v>#REF!</v>
      </c>
      <c r="CX76" t="e">
        <f>AND(#REF!,"AAAAAHj/XGU=")</f>
        <v>#REF!</v>
      </c>
      <c r="CY76" t="e">
        <f>AND(#REF!,"AAAAAHj/XGY=")</f>
        <v>#REF!</v>
      </c>
      <c r="CZ76" t="e">
        <f>AND(#REF!,"AAAAAHj/XGc=")</f>
        <v>#REF!</v>
      </c>
      <c r="DA76" t="e">
        <f>AND(#REF!,"AAAAAHj/XGg=")</f>
        <v>#REF!</v>
      </c>
      <c r="DB76" t="e">
        <f>AND(#REF!,"AAAAAHj/XGk=")</f>
        <v>#REF!</v>
      </c>
      <c r="DC76" t="e">
        <f>AND(#REF!,"AAAAAHj/XGo=")</f>
        <v>#REF!</v>
      </c>
      <c r="DD76" t="e">
        <f>AND(#REF!,"AAAAAHj/XGs=")</f>
        <v>#REF!</v>
      </c>
      <c r="DE76" t="e">
        <f>AND(#REF!,"AAAAAHj/XGw=")</f>
        <v>#REF!</v>
      </c>
      <c r="DF76" t="e">
        <f>AND(#REF!,"AAAAAHj/XG0=")</f>
        <v>#REF!</v>
      </c>
      <c r="DG76" t="e">
        <f>AND(#REF!,"AAAAAHj/XG4=")</f>
        <v>#REF!</v>
      </c>
      <c r="DH76" t="e">
        <f>AND(#REF!,"AAAAAHj/XG8=")</f>
        <v>#REF!</v>
      </c>
      <c r="DI76" t="e">
        <f>AND(#REF!,"AAAAAHj/XHA=")</f>
        <v>#REF!</v>
      </c>
      <c r="DJ76" t="e">
        <f>AND(#REF!,"AAAAAHj/XHE=")</f>
        <v>#REF!</v>
      </c>
      <c r="DK76" t="e">
        <f>AND(#REF!,"AAAAAHj/XHI=")</f>
        <v>#REF!</v>
      </c>
      <c r="DL76" t="e">
        <f>AND(#REF!,"AAAAAHj/XHM=")</f>
        <v>#REF!</v>
      </c>
      <c r="DM76" t="e">
        <f>AND(#REF!,"AAAAAHj/XHQ=")</f>
        <v>#REF!</v>
      </c>
      <c r="DN76" t="e">
        <f>AND(#REF!,"AAAAAHj/XHU=")</f>
        <v>#REF!</v>
      </c>
      <c r="DO76" t="e">
        <f>AND(#REF!,"AAAAAHj/XHY=")</f>
        <v>#REF!</v>
      </c>
      <c r="DP76" t="e">
        <f>IF(#REF!,"AAAAAHj/XHc=",0)</f>
        <v>#REF!</v>
      </c>
      <c r="DQ76" t="e">
        <f>AND(#REF!,"AAAAAHj/XHg=")</f>
        <v>#REF!</v>
      </c>
      <c r="DR76" t="e">
        <f>AND(#REF!,"AAAAAHj/XHk=")</f>
        <v>#REF!</v>
      </c>
      <c r="DS76" t="e">
        <f>AND(#REF!,"AAAAAHj/XHo=")</f>
        <v>#REF!</v>
      </c>
      <c r="DT76" t="e">
        <f>AND(#REF!,"AAAAAHj/XHs=")</f>
        <v>#REF!</v>
      </c>
      <c r="DU76" t="e">
        <f>AND(#REF!,"AAAAAHj/XHw=")</f>
        <v>#REF!</v>
      </c>
      <c r="DV76" t="e">
        <f>AND(#REF!,"AAAAAHj/XH0=")</f>
        <v>#REF!</v>
      </c>
      <c r="DW76" t="e">
        <f>AND(#REF!,"AAAAAHj/XH4=")</f>
        <v>#REF!</v>
      </c>
      <c r="DX76" t="e">
        <f>AND(#REF!,"AAAAAHj/XH8=")</f>
        <v>#REF!</v>
      </c>
      <c r="DY76" t="e">
        <f>AND(#REF!,"AAAAAHj/XIA=")</f>
        <v>#REF!</v>
      </c>
      <c r="DZ76" t="e">
        <f>AND(#REF!,"AAAAAHj/XIE=")</f>
        <v>#REF!</v>
      </c>
      <c r="EA76" t="e">
        <f>AND(#REF!,"AAAAAHj/XII=")</f>
        <v>#REF!</v>
      </c>
      <c r="EB76" t="e">
        <f>AND(#REF!,"AAAAAHj/XIM=")</f>
        <v>#REF!</v>
      </c>
      <c r="EC76" t="e">
        <f>AND(#REF!,"AAAAAHj/XIQ=")</f>
        <v>#REF!</v>
      </c>
      <c r="ED76" t="e">
        <f>AND(#REF!,"AAAAAHj/XIU=")</f>
        <v>#REF!</v>
      </c>
      <c r="EE76" t="e">
        <f>AND(#REF!,"AAAAAHj/XIY=")</f>
        <v>#REF!</v>
      </c>
      <c r="EF76" t="e">
        <f>AND(#REF!,"AAAAAHj/XIc=")</f>
        <v>#REF!</v>
      </c>
      <c r="EG76" t="e">
        <f>AND(#REF!,"AAAAAHj/XIg=")</f>
        <v>#REF!</v>
      </c>
      <c r="EH76" t="e">
        <f>AND(#REF!,"AAAAAHj/XIk=")</f>
        <v>#REF!</v>
      </c>
      <c r="EI76" t="e">
        <f>AND(#REF!,"AAAAAHj/XIo=")</f>
        <v>#REF!</v>
      </c>
      <c r="EJ76" t="e">
        <f>AND(#REF!,"AAAAAHj/XIs=")</f>
        <v>#REF!</v>
      </c>
      <c r="EK76" t="e">
        <f>AND(#REF!,"AAAAAHj/XIw=")</f>
        <v>#REF!</v>
      </c>
      <c r="EL76" t="e">
        <f>AND(#REF!,"AAAAAHj/XI0=")</f>
        <v>#REF!</v>
      </c>
      <c r="EM76" t="e">
        <f>AND(#REF!,"AAAAAHj/XI4=")</f>
        <v>#REF!</v>
      </c>
      <c r="EN76" t="e">
        <f>AND(#REF!,"AAAAAHj/XI8=")</f>
        <v>#REF!</v>
      </c>
      <c r="EO76" t="e">
        <f>AND(#REF!,"AAAAAHj/XJA=")</f>
        <v>#REF!</v>
      </c>
      <c r="EP76" t="e">
        <f>AND(#REF!,"AAAAAHj/XJE=")</f>
        <v>#REF!</v>
      </c>
      <c r="EQ76" t="e">
        <f>IF(#REF!,"AAAAAHj/XJI=",0)</f>
        <v>#REF!</v>
      </c>
      <c r="ER76" t="e">
        <f>AND(#REF!,"AAAAAHj/XJM=")</f>
        <v>#REF!</v>
      </c>
      <c r="ES76" t="e">
        <f>AND(#REF!,"AAAAAHj/XJQ=")</f>
        <v>#REF!</v>
      </c>
      <c r="ET76" t="e">
        <f>AND(#REF!,"AAAAAHj/XJU=")</f>
        <v>#REF!</v>
      </c>
      <c r="EU76" t="e">
        <f>AND(#REF!,"AAAAAHj/XJY=")</f>
        <v>#REF!</v>
      </c>
      <c r="EV76" t="e">
        <f>AND(#REF!,"AAAAAHj/XJc=")</f>
        <v>#REF!</v>
      </c>
      <c r="EW76" t="e">
        <f>AND(#REF!,"AAAAAHj/XJg=")</f>
        <v>#REF!</v>
      </c>
      <c r="EX76" t="e">
        <f>AND(#REF!,"AAAAAHj/XJk=")</f>
        <v>#REF!</v>
      </c>
      <c r="EY76" t="e">
        <f>AND(#REF!,"AAAAAHj/XJo=")</f>
        <v>#REF!</v>
      </c>
      <c r="EZ76" t="e">
        <f>AND(#REF!,"AAAAAHj/XJs=")</f>
        <v>#REF!</v>
      </c>
      <c r="FA76" t="e">
        <f>AND(#REF!,"AAAAAHj/XJw=")</f>
        <v>#REF!</v>
      </c>
      <c r="FB76" t="e">
        <f>AND(#REF!,"AAAAAHj/XJ0=")</f>
        <v>#REF!</v>
      </c>
      <c r="FC76" t="e">
        <f>AND(#REF!,"AAAAAHj/XJ4=")</f>
        <v>#REF!</v>
      </c>
      <c r="FD76" t="e">
        <f>AND(#REF!,"AAAAAHj/XJ8=")</f>
        <v>#REF!</v>
      </c>
      <c r="FE76" t="e">
        <f>AND(#REF!,"AAAAAHj/XKA=")</f>
        <v>#REF!</v>
      </c>
      <c r="FF76" t="e">
        <f>AND(#REF!,"AAAAAHj/XKE=")</f>
        <v>#REF!</v>
      </c>
      <c r="FG76" t="e">
        <f>AND(#REF!,"AAAAAHj/XKI=")</f>
        <v>#REF!</v>
      </c>
      <c r="FH76" t="e">
        <f>AND(#REF!,"AAAAAHj/XKM=")</f>
        <v>#REF!</v>
      </c>
      <c r="FI76" t="e">
        <f>AND(#REF!,"AAAAAHj/XKQ=")</f>
        <v>#REF!</v>
      </c>
      <c r="FJ76" t="e">
        <f>AND(#REF!,"AAAAAHj/XKU=")</f>
        <v>#REF!</v>
      </c>
      <c r="FK76" t="e">
        <f>AND(#REF!,"AAAAAHj/XKY=")</f>
        <v>#REF!</v>
      </c>
      <c r="FL76" t="e">
        <f>AND(#REF!,"AAAAAHj/XKc=")</f>
        <v>#REF!</v>
      </c>
      <c r="FM76" t="e">
        <f>AND(#REF!,"AAAAAHj/XKg=")</f>
        <v>#REF!</v>
      </c>
      <c r="FN76" t="e">
        <f>AND(#REF!,"AAAAAHj/XKk=")</f>
        <v>#REF!</v>
      </c>
      <c r="FO76" t="e">
        <f>AND(#REF!,"AAAAAHj/XKo=")</f>
        <v>#REF!</v>
      </c>
      <c r="FP76" t="e">
        <f>AND(#REF!,"AAAAAHj/XKs=")</f>
        <v>#REF!</v>
      </c>
      <c r="FQ76" t="e">
        <f>AND(#REF!,"AAAAAHj/XKw=")</f>
        <v>#REF!</v>
      </c>
      <c r="FR76" t="e">
        <f>IF(#REF!,"AAAAAHj/XK0=",0)</f>
        <v>#REF!</v>
      </c>
      <c r="FS76" t="e">
        <f>AND(#REF!,"AAAAAHj/XK4=")</f>
        <v>#REF!</v>
      </c>
      <c r="FT76" t="e">
        <f>AND(#REF!,"AAAAAHj/XK8=")</f>
        <v>#REF!</v>
      </c>
      <c r="FU76" t="e">
        <f>AND(#REF!,"AAAAAHj/XLA=")</f>
        <v>#REF!</v>
      </c>
      <c r="FV76" t="e">
        <f>AND(#REF!,"AAAAAHj/XLE=")</f>
        <v>#REF!</v>
      </c>
      <c r="FW76" t="e">
        <f>AND(#REF!,"AAAAAHj/XLI=")</f>
        <v>#REF!</v>
      </c>
      <c r="FX76" t="e">
        <f>AND(#REF!,"AAAAAHj/XLM=")</f>
        <v>#REF!</v>
      </c>
      <c r="FY76" t="e">
        <f>AND(#REF!,"AAAAAHj/XLQ=")</f>
        <v>#REF!</v>
      </c>
      <c r="FZ76" t="e">
        <f>AND(#REF!,"AAAAAHj/XLU=")</f>
        <v>#REF!</v>
      </c>
      <c r="GA76" t="e">
        <f>AND(#REF!,"AAAAAHj/XLY=")</f>
        <v>#REF!</v>
      </c>
      <c r="GB76" t="e">
        <f>AND(#REF!,"AAAAAHj/XLc=")</f>
        <v>#REF!</v>
      </c>
      <c r="GC76" t="e">
        <f>AND(#REF!,"AAAAAHj/XLg=")</f>
        <v>#REF!</v>
      </c>
      <c r="GD76" t="e">
        <f>AND(#REF!,"AAAAAHj/XLk=")</f>
        <v>#REF!</v>
      </c>
      <c r="GE76" t="e">
        <f>AND(#REF!,"AAAAAHj/XLo=")</f>
        <v>#REF!</v>
      </c>
      <c r="GF76" t="e">
        <f>AND(#REF!,"AAAAAHj/XLs=")</f>
        <v>#REF!</v>
      </c>
      <c r="GG76" t="e">
        <f>AND(#REF!,"AAAAAHj/XLw=")</f>
        <v>#REF!</v>
      </c>
      <c r="GH76" t="e">
        <f>AND(#REF!,"AAAAAHj/XL0=")</f>
        <v>#REF!</v>
      </c>
      <c r="GI76" t="e">
        <f>AND(#REF!,"AAAAAHj/XL4=")</f>
        <v>#REF!</v>
      </c>
      <c r="GJ76" t="e">
        <f>AND(#REF!,"AAAAAHj/XL8=")</f>
        <v>#REF!</v>
      </c>
      <c r="GK76" t="e">
        <f>AND(#REF!,"AAAAAHj/XMA=")</f>
        <v>#REF!</v>
      </c>
      <c r="GL76" t="e">
        <f>AND(#REF!,"AAAAAHj/XME=")</f>
        <v>#REF!</v>
      </c>
      <c r="GM76" t="e">
        <f>AND(#REF!,"AAAAAHj/XMI=")</f>
        <v>#REF!</v>
      </c>
      <c r="GN76" t="e">
        <f>AND(#REF!,"AAAAAHj/XMM=")</f>
        <v>#REF!</v>
      </c>
      <c r="GO76" t="e">
        <f>AND(#REF!,"AAAAAHj/XMQ=")</f>
        <v>#REF!</v>
      </c>
      <c r="GP76" t="e">
        <f>AND(#REF!,"AAAAAHj/XMU=")</f>
        <v>#REF!</v>
      </c>
      <c r="GQ76" t="e">
        <f>AND(#REF!,"AAAAAHj/XMY=")</f>
        <v>#REF!</v>
      </c>
      <c r="GR76" t="e">
        <f>AND(#REF!,"AAAAAHj/XMc=")</f>
        <v>#REF!</v>
      </c>
      <c r="GS76" t="e">
        <f>IF(#REF!,"AAAAAHj/XMg=",0)</f>
        <v>#REF!</v>
      </c>
      <c r="GT76" t="e">
        <f>AND(#REF!,"AAAAAHj/XMk=")</f>
        <v>#REF!</v>
      </c>
      <c r="GU76" t="e">
        <f>AND(#REF!,"AAAAAHj/XMo=")</f>
        <v>#REF!</v>
      </c>
      <c r="GV76" t="e">
        <f>AND(#REF!,"AAAAAHj/XMs=")</f>
        <v>#REF!</v>
      </c>
      <c r="GW76" t="e">
        <f>AND(#REF!,"AAAAAHj/XMw=")</f>
        <v>#REF!</v>
      </c>
      <c r="GX76" t="e">
        <f>AND(#REF!,"AAAAAHj/XM0=")</f>
        <v>#REF!</v>
      </c>
      <c r="GY76" t="e">
        <f>AND(#REF!,"AAAAAHj/XM4=")</f>
        <v>#REF!</v>
      </c>
      <c r="GZ76" t="e">
        <f>AND(#REF!,"AAAAAHj/XM8=")</f>
        <v>#REF!</v>
      </c>
      <c r="HA76" t="e">
        <f>AND(#REF!,"AAAAAHj/XNA=")</f>
        <v>#REF!</v>
      </c>
      <c r="HB76" t="e">
        <f>AND(#REF!,"AAAAAHj/XNE=")</f>
        <v>#REF!</v>
      </c>
      <c r="HC76" t="e">
        <f>AND(#REF!,"AAAAAHj/XNI=")</f>
        <v>#REF!</v>
      </c>
      <c r="HD76" t="e">
        <f>AND(#REF!,"AAAAAHj/XNM=")</f>
        <v>#REF!</v>
      </c>
      <c r="HE76" t="e">
        <f>AND(#REF!,"AAAAAHj/XNQ=")</f>
        <v>#REF!</v>
      </c>
      <c r="HF76" t="e">
        <f>AND(#REF!,"AAAAAHj/XNU=")</f>
        <v>#REF!</v>
      </c>
      <c r="HG76" t="e">
        <f>AND(#REF!,"AAAAAHj/XNY=")</f>
        <v>#REF!</v>
      </c>
      <c r="HH76" t="e">
        <f>AND(#REF!,"AAAAAHj/XNc=")</f>
        <v>#REF!</v>
      </c>
      <c r="HI76" t="e">
        <f>AND(#REF!,"AAAAAHj/XNg=")</f>
        <v>#REF!</v>
      </c>
      <c r="HJ76" t="e">
        <f>AND(#REF!,"AAAAAHj/XNk=")</f>
        <v>#REF!</v>
      </c>
      <c r="HK76" t="e">
        <f>AND(#REF!,"AAAAAHj/XNo=")</f>
        <v>#REF!</v>
      </c>
      <c r="HL76" t="e">
        <f>AND(#REF!,"AAAAAHj/XNs=")</f>
        <v>#REF!</v>
      </c>
      <c r="HM76" t="e">
        <f>AND(#REF!,"AAAAAHj/XNw=")</f>
        <v>#REF!</v>
      </c>
      <c r="HN76" t="e">
        <f>AND(#REF!,"AAAAAHj/XN0=")</f>
        <v>#REF!</v>
      </c>
      <c r="HO76" t="e">
        <f>AND(#REF!,"AAAAAHj/XN4=")</f>
        <v>#REF!</v>
      </c>
      <c r="HP76" t="e">
        <f>AND(#REF!,"AAAAAHj/XN8=")</f>
        <v>#REF!</v>
      </c>
      <c r="HQ76" t="e">
        <f>AND(#REF!,"AAAAAHj/XOA=")</f>
        <v>#REF!</v>
      </c>
      <c r="HR76" t="e">
        <f>AND(#REF!,"AAAAAHj/XOE=")</f>
        <v>#REF!</v>
      </c>
      <c r="HS76" t="e">
        <f>AND(#REF!,"AAAAAHj/XOI=")</f>
        <v>#REF!</v>
      </c>
      <c r="HT76" t="e">
        <f>IF(#REF!,"AAAAAHj/XOM=",0)</f>
        <v>#REF!</v>
      </c>
      <c r="HU76" t="e">
        <f>AND(#REF!,"AAAAAHj/XOQ=")</f>
        <v>#REF!</v>
      </c>
      <c r="HV76" t="e">
        <f>AND(#REF!,"AAAAAHj/XOU=")</f>
        <v>#REF!</v>
      </c>
      <c r="HW76" t="e">
        <f>AND(#REF!,"AAAAAHj/XOY=")</f>
        <v>#REF!</v>
      </c>
      <c r="HX76" t="e">
        <f>AND(#REF!,"AAAAAHj/XOc=")</f>
        <v>#REF!</v>
      </c>
      <c r="HY76" t="e">
        <f>AND(#REF!,"AAAAAHj/XOg=")</f>
        <v>#REF!</v>
      </c>
      <c r="HZ76" t="e">
        <f>AND(#REF!,"AAAAAHj/XOk=")</f>
        <v>#REF!</v>
      </c>
      <c r="IA76" t="e">
        <f>AND(#REF!,"AAAAAHj/XOo=")</f>
        <v>#REF!</v>
      </c>
      <c r="IB76" t="e">
        <f>AND(#REF!,"AAAAAHj/XOs=")</f>
        <v>#REF!</v>
      </c>
      <c r="IC76" t="e">
        <f>AND(#REF!,"AAAAAHj/XOw=")</f>
        <v>#REF!</v>
      </c>
      <c r="ID76" t="e">
        <f>AND(#REF!,"AAAAAHj/XO0=")</f>
        <v>#REF!</v>
      </c>
      <c r="IE76" t="e">
        <f>AND(#REF!,"AAAAAHj/XO4=")</f>
        <v>#REF!</v>
      </c>
      <c r="IF76" t="e">
        <f>AND(#REF!,"AAAAAHj/XO8=")</f>
        <v>#REF!</v>
      </c>
      <c r="IG76" t="e">
        <f>AND(#REF!,"AAAAAHj/XPA=")</f>
        <v>#REF!</v>
      </c>
      <c r="IH76" t="e">
        <f>AND(#REF!,"AAAAAHj/XPE=")</f>
        <v>#REF!</v>
      </c>
      <c r="II76" t="e">
        <f>AND(#REF!,"AAAAAHj/XPI=")</f>
        <v>#REF!</v>
      </c>
      <c r="IJ76" t="e">
        <f>AND(#REF!,"AAAAAHj/XPM=")</f>
        <v>#REF!</v>
      </c>
      <c r="IK76" t="e">
        <f>AND(#REF!,"AAAAAHj/XPQ=")</f>
        <v>#REF!</v>
      </c>
      <c r="IL76" t="e">
        <f>AND(#REF!,"AAAAAHj/XPU=")</f>
        <v>#REF!</v>
      </c>
      <c r="IM76" t="e">
        <f>AND(#REF!,"AAAAAHj/XPY=")</f>
        <v>#REF!</v>
      </c>
      <c r="IN76" t="e">
        <f>AND(#REF!,"AAAAAHj/XPc=")</f>
        <v>#REF!</v>
      </c>
      <c r="IO76" t="e">
        <f>AND(#REF!,"AAAAAHj/XPg=")</f>
        <v>#REF!</v>
      </c>
      <c r="IP76" t="e">
        <f>AND(#REF!,"AAAAAHj/XPk=")</f>
        <v>#REF!</v>
      </c>
      <c r="IQ76" t="e">
        <f>AND(#REF!,"AAAAAHj/XPo=")</f>
        <v>#REF!</v>
      </c>
      <c r="IR76" t="e">
        <f>AND(#REF!,"AAAAAHj/XPs=")</f>
        <v>#REF!</v>
      </c>
      <c r="IS76" t="e">
        <f>AND(#REF!,"AAAAAHj/XPw=")</f>
        <v>#REF!</v>
      </c>
      <c r="IT76" t="e">
        <f>AND(#REF!,"AAAAAHj/XP0=")</f>
        <v>#REF!</v>
      </c>
      <c r="IU76" t="e">
        <f>IF(#REF!,"AAAAAHj/XP4=",0)</f>
        <v>#REF!</v>
      </c>
      <c r="IV76" t="e">
        <f>AND(#REF!,"AAAAAHj/XP8=")</f>
        <v>#REF!</v>
      </c>
    </row>
    <row r="77" spans="1:256" x14ac:dyDescent="0.2">
      <c r="A77" t="e">
        <f>AND(#REF!,"AAAAAH9O/QA=")</f>
        <v>#REF!</v>
      </c>
      <c r="B77" t="e">
        <f>AND(#REF!,"AAAAAH9O/QE=")</f>
        <v>#REF!</v>
      </c>
      <c r="C77" t="e">
        <f>AND(#REF!,"AAAAAH9O/QI=")</f>
        <v>#REF!</v>
      </c>
      <c r="D77" t="e">
        <f>AND(#REF!,"AAAAAH9O/QM=")</f>
        <v>#REF!</v>
      </c>
      <c r="E77" t="e">
        <f>AND(#REF!,"AAAAAH9O/QQ=")</f>
        <v>#REF!</v>
      </c>
      <c r="F77" t="e">
        <f>AND(#REF!,"AAAAAH9O/QU=")</f>
        <v>#REF!</v>
      </c>
      <c r="G77" t="e">
        <f>AND(#REF!,"AAAAAH9O/QY=")</f>
        <v>#REF!</v>
      </c>
      <c r="H77" t="e">
        <f>AND(#REF!,"AAAAAH9O/Qc=")</f>
        <v>#REF!</v>
      </c>
      <c r="I77" t="e">
        <f>AND(#REF!,"AAAAAH9O/Qg=")</f>
        <v>#REF!</v>
      </c>
      <c r="J77" t="e">
        <f>AND(#REF!,"AAAAAH9O/Qk=")</f>
        <v>#REF!</v>
      </c>
      <c r="K77" t="e">
        <f>AND(#REF!,"AAAAAH9O/Qo=")</f>
        <v>#REF!</v>
      </c>
      <c r="L77" t="e">
        <f>AND(#REF!,"AAAAAH9O/Qs=")</f>
        <v>#REF!</v>
      </c>
      <c r="M77" t="e">
        <f>AND(#REF!,"AAAAAH9O/Qw=")</f>
        <v>#REF!</v>
      </c>
      <c r="N77" t="e">
        <f>AND(#REF!,"AAAAAH9O/Q0=")</f>
        <v>#REF!</v>
      </c>
      <c r="O77" t="e">
        <f>AND(#REF!,"AAAAAH9O/Q4=")</f>
        <v>#REF!</v>
      </c>
      <c r="P77" t="e">
        <f>AND(#REF!,"AAAAAH9O/Q8=")</f>
        <v>#REF!</v>
      </c>
      <c r="Q77" t="e">
        <f>AND(#REF!,"AAAAAH9O/RA=")</f>
        <v>#REF!</v>
      </c>
      <c r="R77" t="e">
        <f>AND(#REF!,"AAAAAH9O/RE=")</f>
        <v>#REF!</v>
      </c>
      <c r="S77" t="e">
        <f>AND(#REF!,"AAAAAH9O/RI=")</f>
        <v>#REF!</v>
      </c>
      <c r="T77" t="e">
        <f>AND(#REF!,"AAAAAH9O/RM=")</f>
        <v>#REF!</v>
      </c>
      <c r="U77" t="e">
        <f>AND(#REF!,"AAAAAH9O/RQ=")</f>
        <v>#REF!</v>
      </c>
      <c r="V77" t="e">
        <f>AND(#REF!,"AAAAAH9O/RU=")</f>
        <v>#REF!</v>
      </c>
      <c r="W77" t="e">
        <f>AND(#REF!,"AAAAAH9O/RY=")</f>
        <v>#REF!</v>
      </c>
      <c r="X77" t="e">
        <f>AND(#REF!,"AAAAAH9O/Rc=")</f>
        <v>#REF!</v>
      </c>
      <c r="Y77" t="e">
        <f>AND(#REF!,"AAAAAH9O/Rg=")</f>
        <v>#REF!</v>
      </c>
      <c r="Z77" t="e">
        <f>IF(#REF!,"AAAAAH9O/Rk=",0)</f>
        <v>#REF!</v>
      </c>
      <c r="AA77" t="e">
        <f>AND(#REF!,"AAAAAH9O/Ro=")</f>
        <v>#REF!</v>
      </c>
      <c r="AB77" t="e">
        <f>AND(#REF!,"AAAAAH9O/Rs=")</f>
        <v>#REF!</v>
      </c>
      <c r="AC77" t="e">
        <f>AND(#REF!,"AAAAAH9O/Rw=")</f>
        <v>#REF!</v>
      </c>
      <c r="AD77" t="e">
        <f>AND(#REF!,"AAAAAH9O/R0=")</f>
        <v>#REF!</v>
      </c>
      <c r="AE77" t="e">
        <f>AND(#REF!,"AAAAAH9O/R4=")</f>
        <v>#REF!</v>
      </c>
      <c r="AF77" t="e">
        <f>AND(#REF!,"AAAAAH9O/R8=")</f>
        <v>#REF!</v>
      </c>
      <c r="AG77" t="e">
        <f>AND(#REF!,"AAAAAH9O/SA=")</f>
        <v>#REF!</v>
      </c>
      <c r="AH77" t="e">
        <f>AND(#REF!,"AAAAAH9O/SE=")</f>
        <v>#REF!</v>
      </c>
      <c r="AI77" t="e">
        <f>AND(#REF!,"AAAAAH9O/SI=")</f>
        <v>#REF!</v>
      </c>
      <c r="AJ77" t="e">
        <f>AND(#REF!,"AAAAAH9O/SM=")</f>
        <v>#REF!</v>
      </c>
      <c r="AK77" t="e">
        <f>AND(#REF!,"AAAAAH9O/SQ=")</f>
        <v>#REF!</v>
      </c>
      <c r="AL77" t="e">
        <f>AND(#REF!,"AAAAAH9O/SU=")</f>
        <v>#REF!</v>
      </c>
      <c r="AM77" t="e">
        <f>AND(#REF!,"AAAAAH9O/SY=")</f>
        <v>#REF!</v>
      </c>
      <c r="AN77" t="e">
        <f>AND(#REF!,"AAAAAH9O/Sc=")</f>
        <v>#REF!</v>
      </c>
      <c r="AO77" t="e">
        <f>AND(#REF!,"AAAAAH9O/Sg=")</f>
        <v>#REF!</v>
      </c>
      <c r="AP77" t="e">
        <f>AND(#REF!,"AAAAAH9O/Sk=")</f>
        <v>#REF!</v>
      </c>
      <c r="AQ77" t="e">
        <f>AND(#REF!,"AAAAAH9O/So=")</f>
        <v>#REF!</v>
      </c>
      <c r="AR77" t="e">
        <f>AND(#REF!,"AAAAAH9O/Ss=")</f>
        <v>#REF!</v>
      </c>
      <c r="AS77" t="e">
        <f>AND(#REF!,"AAAAAH9O/Sw=")</f>
        <v>#REF!</v>
      </c>
      <c r="AT77" t="e">
        <f>AND(#REF!,"AAAAAH9O/S0=")</f>
        <v>#REF!</v>
      </c>
      <c r="AU77" t="e">
        <f>AND(#REF!,"AAAAAH9O/S4=")</f>
        <v>#REF!</v>
      </c>
      <c r="AV77" t="e">
        <f>AND(#REF!,"AAAAAH9O/S8=")</f>
        <v>#REF!</v>
      </c>
      <c r="AW77" t="e">
        <f>AND(#REF!,"AAAAAH9O/TA=")</f>
        <v>#REF!</v>
      </c>
      <c r="AX77" t="e">
        <f>AND(#REF!,"AAAAAH9O/TE=")</f>
        <v>#REF!</v>
      </c>
      <c r="AY77" t="e">
        <f>AND(#REF!,"AAAAAH9O/TI=")</f>
        <v>#REF!</v>
      </c>
      <c r="AZ77" t="e">
        <f>AND(#REF!,"AAAAAH9O/TM=")</f>
        <v>#REF!</v>
      </c>
      <c r="BA77" t="e">
        <f>IF(#REF!,"AAAAAH9O/TQ=",0)</f>
        <v>#REF!</v>
      </c>
      <c r="BB77" t="e">
        <f>AND(#REF!,"AAAAAH9O/TU=")</f>
        <v>#REF!</v>
      </c>
      <c r="BC77" t="e">
        <f>AND(#REF!,"AAAAAH9O/TY=")</f>
        <v>#REF!</v>
      </c>
      <c r="BD77" t="e">
        <f>AND(#REF!,"AAAAAH9O/Tc=")</f>
        <v>#REF!</v>
      </c>
      <c r="BE77" t="e">
        <f>AND(#REF!,"AAAAAH9O/Tg=")</f>
        <v>#REF!</v>
      </c>
      <c r="BF77" t="e">
        <f>AND(#REF!,"AAAAAH9O/Tk=")</f>
        <v>#REF!</v>
      </c>
      <c r="BG77" t="e">
        <f>AND(#REF!,"AAAAAH9O/To=")</f>
        <v>#REF!</v>
      </c>
      <c r="BH77" t="e">
        <f>AND(#REF!,"AAAAAH9O/Ts=")</f>
        <v>#REF!</v>
      </c>
      <c r="BI77" t="e">
        <f>AND(#REF!,"AAAAAH9O/Tw=")</f>
        <v>#REF!</v>
      </c>
      <c r="BJ77" t="e">
        <f>AND(#REF!,"AAAAAH9O/T0=")</f>
        <v>#REF!</v>
      </c>
      <c r="BK77" t="e">
        <f>AND(#REF!,"AAAAAH9O/T4=")</f>
        <v>#REF!</v>
      </c>
      <c r="BL77" t="e">
        <f>AND(#REF!,"AAAAAH9O/T8=")</f>
        <v>#REF!</v>
      </c>
      <c r="BM77" t="e">
        <f>AND(#REF!,"AAAAAH9O/UA=")</f>
        <v>#REF!</v>
      </c>
      <c r="BN77" t="e">
        <f>AND(#REF!,"AAAAAH9O/UE=")</f>
        <v>#REF!</v>
      </c>
      <c r="BO77" t="e">
        <f>AND(#REF!,"AAAAAH9O/UI=")</f>
        <v>#REF!</v>
      </c>
      <c r="BP77" t="e">
        <f>AND(#REF!,"AAAAAH9O/UM=")</f>
        <v>#REF!</v>
      </c>
      <c r="BQ77" t="e">
        <f>AND(#REF!,"AAAAAH9O/UQ=")</f>
        <v>#REF!</v>
      </c>
      <c r="BR77" t="e">
        <f>AND(#REF!,"AAAAAH9O/UU=")</f>
        <v>#REF!</v>
      </c>
      <c r="BS77" t="e">
        <f>AND(#REF!,"AAAAAH9O/UY=")</f>
        <v>#REF!</v>
      </c>
      <c r="BT77" t="e">
        <f>AND(#REF!,"AAAAAH9O/Uc=")</f>
        <v>#REF!</v>
      </c>
      <c r="BU77" t="e">
        <f>AND(#REF!,"AAAAAH9O/Ug=")</f>
        <v>#REF!</v>
      </c>
      <c r="BV77" t="e">
        <f>AND(#REF!,"AAAAAH9O/Uk=")</f>
        <v>#REF!</v>
      </c>
      <c r="BW77" t="e">
        <f>AND(#REF!,"AAAAAH9O/Uo=")</f>
        <v>#REF!</v>
      </c>
      <c r="BX77" t="e">
        <f>AND(#REF!,"AAAAAH9O/Us=")</f>
        <v>#REF!</v>
      </c>
      <c r="BY77" t="e">
        <f>AND(#REF!,"AAAAAH9O/Uw=")</f>
        <v>#REF!</v>
      </c>
      <c r="BZ77" t="e">
        <f>AND(#REF!,"AAAAAH9O/U0=")</f>
        <v>#REF!</v>
      </c>
      <c r="CA77" t="e">
        <f>AND(#REF!,"AAAAAH9O/U4=")</f>
        <v>#REF!</v>
      </c>
      <c r="CB77" t="e">
        <f>IF(#REF!,"AAAAAH9O/U8=",0)</f>
        <v>#REF!</v>
      </c>
      <c r="CC77" t="e">
        <f>AND(#REF!,"AAAAAH9O/VA=")</f>
        <v>#REF!</v>
      </c>
      <c r="CD77" t="e">
        <f>AND(#REF!,"AAAAAH9O/VE=")</f>
        <v>#REF!</v>
      </c>
      <c r="CE77" t="e">
        <f>AND(#REF!,"AAAAAH9O/VI=")</f>
        <v>#REF!</v>
      </c>
      <c r="CF77" t="e">
        <f>AND(#REF!,"AAAAAH9O/VM=")</f>
        <v>#REF!</v>
      </c>
      <c r="CG77" t="e">
        <f>AND(#REF!,"AAAAAH9O/VQ=")</f>
        <v>#REF!</v>
      </c>
      <c r="CH77" t="e">
        <f>AND(#REF!,"AAAAAH9O/VU=")</f>
        <v>#REF!</v>
      </c>
      <c r="CI77" t="e">
        <f>AND(#REF!,"AAAAAH9O/VY=")</f>
        <v>#REF!</v>
      </c>
      <c r="CJ77" t="e">
        <f>AND(#REF!,"AAAAAH9O/Vc=")</f>
        <v>#REF!</v>
      </c>
      <c r="CK77" t="e">
        <f>AND(#REF!,"AAAAAH9O/Vg=")</f>
        <v>#REF!</v>
      </c>
      <c r="CL77" t="e">
        <f>AND(#REF!,"AAAAAH9O/Vk=")</f>
        <v>#REF!</v>
      </c>
      <c r="CM77" t="e">
        <f>AND(#REF!,"AAAAAH9O/Vo=")</f>
        <v>#REF!</v>
      </c>
      <c r="CN77" t="e">
        <f>AND(#REF!,"AAAAAH9O/Vs=")</f>
        <v>#REF!</v>
      </c>
      <c r="CO77" t="e">
        <f>AND(#REF!,"AAAAAH9O/Vw=")</f>
        <v>#REF!</v>
      </c>
      <c r="CP77" t="e">
        <f>AND(#REF!,"AAAAAH9O/V0=")</f>
        <v>#REF!</v>
      </c>
      <c r="CQ77" t="e">
        <f>AND(#REF!,"AAAAAH9O/V4=")</f>
        <v>#REF!</v>
      </c>
      <c r="CR77" t="e">
        <f>AND(#REF!,"AAAAAH9O/V8=")</f>
        <v>#REF!</v>
      </c>
      <c r="CS77" t="e">
        <f>AND(#REF!,"AAAAAH9O/WA=")</f>
        <v>#REF!</v>
      </c>
      <c r="CT77" t="e">
        <f>AND(#REF!,"AAAAAH9O/WE=")</f>
        <v>#REF!</v>
      </c>
      <c r="CU77" t="e">
        <f>AND(#REF!,"AAAAAH9O/WI=")</f>
        <v>#REF!</v>
      </c>
      <c r="CV77" t="e">
        <f>AND(#REF!,"AAAAAH9O/WM=")</f>
        <v>#REF!</v>
      </c>
      <c r="CW77" t="e">
        <f>AND(#REF!,"AAAAAH9O/WQ=")</f>
        <v>#REF!</v>
      </c>
      <c r="CX77" t="e">
        <f>AND(#REF!,"AAAAAH9O/WU=")</f>
        <v>#REF!</v>
      </c>
      <c r="CY77" t="e">
        <f>AND(#REF!,"AAAAAH9O/WY=")</f>
        <v>#REF!</v>
      </c>
      <c r="CZ77" t="e">
        <f>AND(#REF!,"AAAAAH9O/Wc=")</f>
        <v>#REF!</v>
      </c>
      <c r="DA77" t="e">
        <f>AND(#REF!,"AAAAAH9O/Wg=")</f>
        <v>#REF!</v>
      </c>
      <c r="DB77" t="e">
        <f>AND(#REF!,"AAAAAH9O/Wk=")</f>
        <v>#REF!</v>
      </c>
      <c r="DC77" t="e">
        <f>IF(#REF!,"AAAAAH9O/Wo=",0)</f>
        <v>#REF!</v>
      </c>
      <c r="DD77" t="e">
        <f>AND(#REF!,"AAAAAH9O/Ws=")</f>
        <v>#REF!</v>
      </c>
      <c r="DE77" t="e">
        <f>AND(#REF!,"AAAAAH9O/Ww=")</f>
        <v>#REF!</v>
      </c>
      <c r="DF77" t="e">
        <f>AND(#REF!,"AAAAAH9O/W0=")</f>
        <v>#REF!</v>
      </c>
      <c r="DG77" t="e">
        <f>AND(#REF!,"AAAAAH9O/W4=")</f>
        <v>#REF!</v>
      </c>
      <c r="DH77" t="e">
        <f>AND(#REF!,"AAAAAH9O/W8=")</f>
        <v>#REF!</v>
      </c>
      <c r="DI77" t="e">
        <f>AND(#REF!,"AAAAAH9O/XA=")</f>
        <v>#REF!</v>
      </c>
      <c r="DJ77" t="e">
        <f>AND(#REF!,"AAAAAH9O/XE=")</f>
        <v>#REF!</v>
      </c>
      <c r="DK77" t="e">
        <f>AND(#REF!,"AAAAAH9O/XI=")</f>
        <v>#REF!</v>
      </c>
      <c r="DL77" t="e">
        <f>AND(#REF!,"AAAAAH9O/XM=")</f>
        <v>#REF!</v>
      </c>
      <c r="DM77" t="e">
        <f>AND(#REF!,"AAAAAH9O/XQ=")</f>
        <v>#REF!</v>
      </c>
      <c r="DN77" t="e">
        <f>AND(#REF!,"AAAAAH9O/XU=")</f>
        <v>#REF!</v>
      </c>
      <c r="DO77" t="e">
        <f>AND(#REF!,"AAAAAH9O/XY=")</f>
        <v>#REF!</v>
      </c>
      <c r="DP77" t="e">
        <f>AND(#REF!,"AAAAAH9O/Xc=")</f>
        <v>#REF!</v>
      </c>
      <c r="DQ77" t="e">
        <f>AND(#REF!,"AAAAAH9O/Xg=")</f>
        <v>#REF!</v>
      </c>
      <c r="DR77" t="e">
        <f>AND(#REF!,"AAAAAH9O/Xk=")</f>
        <v>#REF!</v>
      </c>
      <c r="DS77" t="e">
        <f>AND(#REF!,"AAAAAH9O/Xo=")</f>
        <v>#REF!</v>
      </c>
      <c r="DT77" t="e">
        <f>AND(#REF!,"AAAAAH9O/Xs=")</f>
        <v>#REF!</v>
      </c>
      <c r="DU77" t="e">
        <f>AND(#REF!,"AAAAAH9O/Xw=")</f>
        <v>#REF!</v>
      </c>
      <c r="DV77" t="e">
        <f>AND(#REF!,"AAAAAH9O/X0=")</f>
        <v>#REF!</v>
      </c>
      <c r="DW77" t="e">
        <f>AND(#REF!,"AAAAAH9O/X4=")</f>
        <v>#REF!</v>
      </c>
      <c r="DX77" t="e">
        <f>AND(#REF!,"AAAAAH9O/X8=")</f>
        <v>#REF!</v>
      </c>
      <c r="DY77" t="e">
        <f>AND(#REF!,"AAAAAH9O/YA=")</f>
        <v>#REF!</v>
      </c>
      <c r="DZ77" t="e">
        <f>AND(#REF!,"AAAAAH9O/YE=")</f>
        <v>#REF!</v>
      </c>
      <c r="EA77" t="e">
        <f>AND(#REF!,"AAAAAH9O/YI=")</f>
        <v>#REF!</v>
      </c>
      <c r="EB77" t="e">
        <f>AND(#REF!,"AAAAAH9O/YM=")</f>
        <v>#REF!</v>
      </c>
      <c r="EC77" t="e">
        <f>AND(#REF!,"AAAAAH9O/YQ=")</f>
        <v>#REF!</v>
      </c>
      <c r="ED77" t="e">
        <f>IF(#REF!,"AAAAAH9O/YU=",0)</f>
        <v>#REF!</v>
      </c>
      <c r="EE77" t="e">
        <f>AND(#REF!,"AAAAAH9O/YY=")</f>
        <v>#REF!</v>
      </c>
      <c r="EF77" t="e">
        <f>AND(#REF!,"AAAAAH9O/Yc=")</f>
        <v>#REF!</v>
      </c>
      <c r="EG77" t="e">
        <f>AND(#REF!,"AAAAAH9O/Yg=")</f>
        <v>#REF!</v>
      </c>
      <c r="EH77" t="e">
        <f>AND(#REF!,"AAAAAH9O/Yk=")</f>
        <v>#REF!</v>
      </c>
      <c r="EI77" t="e">
        <f>AND(#REF!,"AAAAAH9O/Yo=")</f>
        <v>#REF!</v>
      </c>
      <c r="EJ77" t="e">
        <f>AND(#REF!,"AAAAAH9O/Ys=")</f>
        <v>#REF!</v>
      </c>
      <c r="EK77" t="e">
        <f>AND(#REF!,"AAAAAH9O/Yw=")</f>
        <v>#REF!</v>
      </c>
      <c r="EL77" t="e">
        <f>AND(#REF!,"AAAAAH9O/Y0=")</f>
        <v>#REF!</v>
      </c>
      <c r="EM77" t="e">
        <f>AND(#REF!,"AAAAAH9O/Y4=")</f>
        <v>#REF!</v>
      </c>
      <c r="EN77" t="e">
        <f>AND(#REF!,"AAAAAH9O/Y8=")</f>
        <v>#REF!</v>
      </c>
      <c r="EO77" t="e">
        <f>AND(#REF!,"AAAAAH9O/ZA=")</f>
        <v>#REF!</v>
      </c>
      <c r="EP77" t="e">
        <f>AND(#REF!,"AAAAAH9O/ZE=")</f>
        <v>#REF!</v>
      </c>
      <c r="EQ77" t="e">
        <f>AND(#REF!,"AAAAAH9O/ZI=")</f>
        <v>#REF!</v>
      </c>
      <c r="ER77" t="e">
        <f>AND(#REF!,"AAAAAH9O/ZM=")</f>
        <v>#REF!</v>
      </c>
      <c r="ES77" t="e">
        <f>AND(#REF!,"AAAAAH9O/ZQ=")</f>
        <v>#REF!</v>
      </c>
      <c r="ET77" t="e">
        <f>AND(#REF!,"AAAAAH9O/ZU=")</f>
        <v>#REF!</v>
      </c>
      <c r="EU77" t="e">
        <f>AND(#REF!,"AAAAAH9O/ZY=")</f>
        <v>#REF!</v>
      </c>
      <c r="EV77" t="e">
        <f>AND(#REF!,"AAAAAH9O/Zc=")</f>
        <v>#REF!</v>
      </c>
      <c r="EW77" t="e">
        <f>AND(#REF!,"AAAAAH9O/Zg=")</f>
        <v>#REF!</v>
      </c>
      <c r="EX77" t="e">
        <f>AND(#REF!,"AAAAAH9O/Zk=")</f>
        <v>#REF!</v>
      </c>
      <c r="EY77" t="e">
        <f>AND(#REF!,"AAAAAH9O/Zo=")</f>
        <v>#REF!</v>
      </c>
      <c r="EZ77" t="e">
        <f>AND(#REF!,"AAAAAH9O/Zs=")</f>
        <v>#REF!</v>
      </c>
      <c r="FA77" t="e">
        <f>AND(#REF!,"AAAAAH9O/Zw=")</f>
        <v>#REF!</v>
      </c>
      <c r="FB77" t="e">
        <f>AND(#REF!,"AAAAAH9O/Z0=")</f>
        <v>#REF!</v>
      </c>
      <c r="FC77" t="e">
        <f>AND(#REF!,"AAAAAH9O/Z4=")</f>
        <v>#REF!</v>
      </c>
      <c r="FD77" t="e">
        <f>AND(#REF!,"AAAAAH9O/Z8=")</f>
        <v>#REF!</v>
      </c>
      <c r="FE77" t="e">
        <f>IF(#REF!,"AAAAAH9O/aA=",0)</f>
        <v>#REF!</v>
      </c>
      <c r="FF77" t="e">
        <f>IF(#REF!,"AAAAAH9O/aE=",0)</f>
        <v>#REF!</v>
      </c>
      <c r="FG77" t="e">
        <f>IF(#REF!,"AAAAAH9O/aI=",0)</f>
        <v>#REF!</v>
      </c>
      <c r="FH77" t="e">
        <f>IF(#REF!,"AAAAAH9O/aM=",0)</f>
        <v>#REF!</v>
      </c>
      <c r="FI77" t="e">
        <f>IF(#REF!,"AAAAAH9O/aQ=",0)</f>
        <v>#REF!</v>
      </c>
      <c r="FJ77" t="e">
        <f>IF(#REF!,"AAAAAH9O/aU=",0)</f>
        <v>#REF!</v>
      </c>
      <c r="FK77" t="e">
        <f>IF(#REF!,"AAAAAH9O/aY=",0)</f>
        <v>#REF!</v>
      </c>
      <c r="FL77" t="e">
        <f>IF(#REF!,"AAAAAH9O/ac=",0)</f>
        <v>#REF!</v>
      </c>
      <c r="FM77" t="e">
        <f>IF(#REF!,"AAAAAH9O/ag=",0)</f>
        <v>#REF!</v>
      </c>
      <c r="FN77" t="e">
        <f>IF(#REF!,"AAAAAH9O/ak=",0)</f>
        <v>#REF!</v>
      </c>
      <c r="FO77" t="e">
        <f>IF(#REF!,"AAAAAH9O/ao=",0)</f>
        <v>#REF!</v>
      </c>
      <c r="FP77" t="e">
        <f>IF(#REF!,"AAAAAH9O/as=",0)</f>
        <v>#REF!</v>
      </c>
      <c r="FQ77" t="e">
        <f>IF(#REF!,"AAAAAH9O/aw=",0)</f>
        <v>#REF!</v>
      </c>
      <c r="FR77" t="e">
        <f>IF(#REF!,"AAAAAH9O/a0=",0)</f>
        <v>#REF!</v>
      </c>
      <c r="FS77" t="e">
        <f>IF(#REF!,"AAAAAH9O/a4=",0)</f>
        <v>#REF!</v>
      </c>
      <c r="FT77" t="e">
        <f>IF(#REF!,"AAAAAH9O/a8=",0)</f>
        <v>#REF!</v>
      </c>
      <c r="FU77" t="e">
        <f>IF(#REF!,"AAAAAH9O/bA=",0)</f>
        <v>#REF!</v>
      </c>
      <c r="FV77" t="e">
        <f>IF(#REF!,"AAAAAH9O/bE=",0)</f>
        <v>#REF!</v>
      </c>
      <c r="FW77" t="e">
        <f>IF(#REF!,"AAAAAH9O/bI=",0)</f>
        <v>#REF!</v>
      </c>
      <c r="FX77" t="e">
        <f>IF(#REF!,"AAAAAH9O/bM=",0)</f>
        <v>#REF!</v>
      </c>
      <c r="FY77" t="e">
        <f>IF(#REF!,"AAAAAH9O/bQ=",0)</f>
        <v>#REF!</v>
      </c>
      <c r="FZ77" t="e">
        <f>IF(#REF!,"AAAAAH9O/bU=",0)</f>
        <v>#REF!</v>
      </c>
      <c r="GA77" t="e">
        <f>IF(#REF!,"AAAAAH9O/bY=",0)</f>
        <v>#REF!</v>
      </c>
      <c r="GB77" t="e">
        <f>IF(#REF!,"AAAAAH9O/bc=",0)</f>
        <v>#REF!</v>
      </c>
      <c r="GC77" t="e">
        <f>IF(#REF!,"AAAAAH9O/bg=",0)</f>
        <v>#REF!</v>
      </c>
      <c r="GD77" t="e">
        <f>IF(#REF!,"AAAAAH9O/bk=",0)</f>
        <v>#REF!</v>
      </c>
      <c r="GE77" t="e">
        <f>IF(#REF!,"AAAAAH9O/bo=",0)</f>
        <v>#REF!</v>
      </c>
      <c r="GF77" t="e">
        <f>AND(#REF!,"AAAAAH9O/bs=")</f>
        <v>#REF!</v>
      </c>
      <c r="GG77" t="e">
        <f>AND(#REF!,"AAAAAH9O/bw=")</f>
        <v>#REF!</v>
      </c>
      <c r="GH77" t="e">
        <f>AND(#REF!,"AAAAAH9O/b0=")</f>
        <v>#REF!</v>
      </c>
      <c r="GI77" t="e">
        <f>AND(#REF!,"AAAAAH9O/b4=")</f>
        <v>#REF!</v>
      </c>
      <c r="GJ77" t="e">
        <f>AND(#REF!,"AAAAAH9O/b8=")</f>
        <v>#REF!</v>
      </c>
      <c r="GK77" t="e">
        <f>AND(#REF!,"AAAAAH9O/cA=")</f>
        <v>#REF!</v>
      </c>
      <c r="GL77" t="e">
        <f>AND(#REF!,"AAAAAH9O/cE=")</f>
        <v>#REF!</v>
      </c>
      <c r="GM77" t="e">
        <f>AND(#REF!,"AAAAAH9O/cI=")</f>
        <v>#REF!</v>
      </c>
      <c r="GN77" t="e">
        <f>AND(#REF!,"AAAAAH9O/cM=")</f>
        <v>#REF!</v>
      </c>
      <c r="GO77" t="e">
        <f>AND(#REF!,"AAAAAH9O/cQ=")</f>
        <v>#REF!</v>
      </c>
      <c r="GP77" t="e">
        <f>AND(#REF!,"AAAAAH9O/cU=")</f>
        <v>#REF!</v>
      </c>
      <c r="GQ77" t="e">
        <f>AND(#REF!,"AAAAAH9O/cY=")</f>
        <v>#REF!</v>
      </c>
      <c r="GR77" t="e">
        <f>AND(#REF!,"AAAAAH9O/cc=")</f>
        <v>#REF!</v>
      </c>
      <c r="GS77" t="e">
        <f>AND(#REF!,"AAAAAH9O/cg=")</f>
        <v>#REF!</v>
      </c>
      <c r="GT77" t="e">
        <f>AND(#REF!,"AAAAAH9O/ck=")</f>
        <v>#REF!</v>
      </c>
      <c r="GU77" t="e">
        <f>AND(#REF!,"AAAAAH9O/co=")</f>
        <v>#REF!</v>
      </c>
      <c r="GV77" t="e">
        <f>AND(#REF!,"AAAAAH9O/cs=")</f>
        <v>#REF!</v>
      </c>
      <c r="GW77" t="e">
        <f>AND(#REF!,"AAAAAH9O/cw=")</f>
        <v>#REF!</v>
      </c>
      <c r="GX77" t="e">
        <f>AND(#REF!,"AAAAAH9O/c0=")</f>
        <v>#REF!</v>
      </c>
      <c r="GY77" t="e">
        <f>AND(#REF!,"AAAAAH9O/c4=")</f>
        <v>#REF!</v>
      </c>
      <c r="GZ77" t="e">
        <f>AND(#REF!,"AAAAAH9O/c8=")</f>
        <v>#REF!</v>
      </c>
      <c r="HA77" t="e">
        <f>AND(#REF!,"AAAAAH9O/dA=")</f>
        <v>#REF!</v>
      </c>
      <c r="HB77" t="e">
        <f>AND(#REF!,"AAAAAH9O/dE=")</f>
        <v>#REF!</v>
      </c>
      <c r="HC77" t="e">
        <f>AND(#REF!,"AAAAAH9O/dI=")</f>
        <v>#REF!</v>
      </c>
      <c r="HD77" t="e">
        <f>AND(#REF!,"AAAAAH9O/dM=")</f>
        <v>#REF!</v>
      </c>
      <c r="HE77" t="e">
        <f>AND(#REF!,"AAAAAH9O/dQ=")</f>
        <v>#REF!</v>
      </c>
      <c r="HF77" t="e">
        <f>IF(#REF!,"AAAAAH9O/dU=",0)</f>
        <v>#REF!</v>
      </c>
      <c r="HG77" t="e">
        <f>AND(#REF!,"AAAAAH9O/dY=")</f>
        <v>#REF!</v>
      </c>
      <c r="HH77" t="e">
        <f>AND(#REF!,"AAAAAH9O/dc=")</f>
        <v>#REF!</v>
      </c>
      <c r="HI77" t="e">
        <f>AND(#REF!,"AAAAAH9O/dg=")</f>
        <v>#REF!</v>
      </c>
      <c r="HJ77" t="e">
        <f>AND(#REF!,"AAAAAH9O/dk=")</f>
        <v>#REF!</v>
      </c>
      <c r="HK77" t="e">
        <f>AND(#REF!,"AAAAAH9O/do=")</f>
        <v>#REF!</v>
      </c>
      <c r="HL77" t="e">
        <f>AND(#REF!,"AAAAAH9O/ds=")</f>
        <v>#REF!</v>
      </c>
      <c r="HM77" t="e">
        <f>AND(#REF!,"AAAAAH9O/dw=")</f>
        <v>#REF!</v>
      </c>
      <c r="HN77" t="e">
        <f>AND(#REF!,"AAAAAH9O/d0=")</f>
        <v>#REF!</v>
      </c>
      <c r="HO77" t="e">
        <f>AND(#REF!,"AAAAAH9O/d4=")</f>
        <v>#REF!</v>
      </c>
      <c r="HP77" t="e">
        <f>AND(#REF!,"AAAAAH9O/d8=")</f>
        <v>#REF!</v>
      </c>
      <c r="HQ77" t="e">
        <f>AND(#REF!,"AAAAAH9O/eA=")</f>
        <v>#REF!</v>
      </c>
      <c r="HR77" t="e">
        <f>AND(#REF!,"AAAAAH9O/eE=")</f>
        <v>#REF!</v>
      </c>
      <c r="HS77" t="e">
        <f>AND(#REF!,"AAAAAH9O/eI=")</f>
        <v>#REF!</v>
      </c>
      <c r="HT77" t="e">
        <f>AND(#REF!,"AAAAAH9O/eM=")</f>
        <v>#REF!</v>
      </c>
      <c r="HU77" t="e">
        <f>AND(#REF!,"AAAAAH9O/eQ=")</f>
        <v>#REF!</v>
      </c>
      <c r="HV77" t="e">
        <f>AND(#REF!,"AAAAAH9O/eU=")</f>
        <v>#REF!</v>
      </c>
      <c r="HW77" t="e">
        <f>AND(#REF!,"AAAAAH9O/eY=")</f>
        <v>#REF!</v>
      </c>
      <c r="HX77" t="e">
        <f>AND(#REF!,"AAAAAH9O/ec=")</f>
        <v>#REF!</v>
      </c>
      <c r="HY77" t="e">
        <f>AND(#REF!,"AAAAAH9O/eg=")</f>
        <v>#REF!</v>
      </c>
      <c r="HZ77" t="e">
        <f>AND(#REF!,"AAAAAH9O/ek=")</f>
        <v>#REF!</v>
      </c>
      <c r="IA77" t="e">
        <f>AND(#REF!,"AAAAAH9O/eo=")</f>
        <v>#REF!</v>
      </c>
      <c r="IB77" t="e">
        <f>AND(#REF!,"AAAAAH9O/es=")</f>
        <v>#REF!</v>
      </c>
      <c r="IC77" t="e">
        <f>AND(#REF!,"AAAAAH9O/ew=")</f>
        <v>#REF!</v>
      </c>
      <c r="ID77" t="e">
        <f>AND(#REF!,"AAAAAH9O/e0=")</f>
        <v>#REF!</v>
      </c>
      <c r="IE77" t="e">
        <f>AND(#REF!,"AAAAAH9O/e4=")</f>
        <v>#REF!</v>
      </c>
      <c r="IF77" t="e">
        <f>AND(#REF!,"AAAAAH9O/e8=")</f>
        <v>#REF!</v>
      </c>
      <c r="IG77" t="e">
        <f>IF(#REF!,"AAAAAH9O/fA=",0)</f>
        <v>#REF!</v>
      </c>
      <c r="IH77" t="e">
        <f>AND(#REF!,"AAAAAH9O/fE=")</f>
        <v>#REF!</v>
      </c>
      <c r="II77" t="e">
        <f>AND(#REF!,"AAAAAH9O/fI=")</f>
        <v>#REF!</v>
      </c>
      <c r="IJ77" t="e">
        <f>AND(#REF!,"AAAAAH9O/fM=")</f>
        <v>#REF!</v>
      </c>
      <c r="IK77" t="e">
        <f>AND(#REF!,"AAAAAH9O/fQ=")</f>
        <v>#REF!</v>
      </c>
      <c r="IL77" t="e">
        <f>AND(#REF!,"AAAAAH9O/fU=")</f>
        <v>#REF!</v>
      </c>
      <c r="IM77" t="e">
        <f>AND(#REF!,"AAAAAH9O/fY=")</f>
        <v>#REF!</v>
      </c>
      <c r="IN77" t="e">
        <f>AND(#REF!,"AAAAAH9O/fc=")</f>
        <v>#REF!</v>
      </c>
      <c r="IO77" t="e">
        <f>AND(#REF!,"AAAAAH9O/fg=")</f>
        <v>#REF!</v>
      </c>
      <c r="IP77" t="e">
        <f>AND(#REF!,"AAAAAH9O/fk=")</f>
        <v>#REF!</v>
      </c>
      <c r="IQ77" t="e">
        <f>AND(#REF!,"AAAAAH9O/fo=")</f>
        <v>#REF!</v>
      </c>
      <c r="IR77" t="e">
        <f>AND(#REF!,"AAAAAH9O/fs=")</f>
        <v>#REF!</v>
      </c>
      <c r="IS77" t="e">
        <f>AND(#REF!,"AAAAAH9O/fw=")</f>
        <v>#REF!</v>
      </c>
      <c r="IT77" t="e">
        <f>AND(#REF!,"AAAAAH9O/f0=")</f>
        <v>#REF!</v>
      </c>
      <c r="IU77" t="e">
        <f>AND(#REF!,"AAAAAH9O/f4=")</f>
        <v>#REF!</v>
      </c>
      <c r="IV77" t="e">
        <f>AND(#REF!,"AAAAAH9O/f8=")</f>
        <v>#REF!</v>
      </c>
    </row>
    <row r="78" spans="1:256" x14ac:dyDescent="0.2">
      <c r="A78" t="e">
        <f>AND(#REF!,"AAAAAD39mwA=")</f>
        <v>#REF!</v>
      </c>
      <c r="B78" t="e">
        <f>AND(#REF!,"AAAAAD39mwE=")</f>
        <v>#REF!</v>
      </c>
      <c r="C78" t="e">
        <f>AND(#REF!,"AAAAAD39mwI=")</f>
        <v>#REF!</v>
      </c>
      <c r="D78" t="e">
        <f>AND(#REF!,"AAAAAD39mwM=")</f>
        <v>#REF!</v>
      </c>
      <c r="E78" t="e">
        <f>AND(#REF!,"AAAAAD39mwQ=")</f>
        <v>#REF!</v>
      </c>
      <c r="F78" t="e">
        <f>AND(#REF!,"AAAAAD39mwU=")</f>
        <v>#REF!</v>
      </c>
      <c r="G78" t="e">
        <f>AND(#REF!,"AAAAAD39mwY=")</f>
        <v>#REF!</v>
      </c>
      <c r="H78" t="e">
        <f>AND(#REF!,"AAAAAD39mwc=")</f>
        <v>#REF!</v>
      </c>
      <c r="I78" t="e">
        <f>AND(#REF!,"AAAAAD39mwg=")</f>
        <v>#REF!</v>
      </c>
      <c r="J78" t="e">
        <f>AND(#REF!,"AAAAAD39mwk=")</f>
        <v>#REF!</v>
      </c>
      <c r="K78" t="e">
        <f>AND(#REF!,"AAAAAD39mwo=")</f>
        <v>#REF!</v>
      </c>
      <c r="L78" t="e">
        <f>IF(#REF!,"AAAAAD39mws=",0)</f>
        <v>#REF!</v>
      </c>
      <c r="M78" t="e">
        <f>AND(#REF!,"AAAAAD39mww=")</f>
        <v>#REF!</v>
      </c>
      <c r="N78" t="e">
        <f>AND(#REF!,"AAAAAD39mw0=")</f>
        <v>#REF!</v>
      </c>
      <c r="O78" t="e">
        <f>AND(#REF!,"AAAAAD39mw4=")</f>
        <v>#REF!</v>
      </c>
      <c r="P78" t="e">
        <f>AND(#REF!,"AAAAAD39mw8=")</f>
        <v>#REF!</v>
      </c>
      <c r="Q78" t="e">
        <f>AND(#REF!,"AAAAAD39mxA=")</f>
        <v>#REF!</v>
      </c>
      <c r="R78" t="e">
        <f>AND(#REF!,"AAAAAD39mxE=")</f>
        <v>#REF!</v>
      </c>
      <c r="S78" t="e">
        <f>AND(#REF!,"AAAAAD39mxI=")</f>
        <v>#REF!</v>
      </c>
      <c r="T78" t="e">
        <f>AND(#REF!,"AAAAAD39mxM=")</f>
        <v>#REF!</v>
      </c>
      <c r="U78" t="e">
        <f>AND(#REF!,"AAAAAD39mxQ=")</f>
        <v>#REF!</v>
      </c>
      <c r="V78" t="e">
        <f>AND(#REF!,"AAAAAD39mxU=")</f>
        <v>#REF!</v>
      </c>
      <c r="W78" t="e">
        <f>AND(#REF!,"AAAAAD39mxY=")</f>
        <v>#REF!</v>
      </c>
      <c r="X78" t="e">
        <f>AND(#REF!,"AAAAAD39mxc=")</f>
        <v>#REF!</v>
      </c>
      <c r="Y78" t="e">
        <f>AND(#REF!,"AAAAAD39mxg=")</f>
        <v>#REF!</v>
      </c>
      <c r="Z78" t="e">
        <f>AND(#REF!,"AAAAAD39mxk=")</f>
        <v>#REF!</v>
      </c>
      <c r="AA78" t="e">
        <f>AND(#REF!,"AAAAAD39mxo=")</f>
        <v>#REF!</v>
      </c>
      <c r="AB78" t="e">
        <f>AND(#REF!,"AAAAAD39mxs=")</f>
        <v>#REF!</v>
      </c>
      <c r="AC78" t="e">
        <f>AND(#REF!,"AAAAAD39mxw=")</f>
        <v>#REF!</v>
      </c>
      <c r="AD78" t="e">
        <f>AND(#REF!,"AAAAAD39mx0=")</f>
        <v>#REF!</v>
      </c>
      <c r="AE78" t="e">
        <f>AND(#REF!,"AAAAAD39mx4=")</f>
        <v>#REF!</v>
      </c>
      <c r="AF78" t="e">
        <f>AND(#REF!,"AAAAAD39mx8=")</f>
        <v>#REF!</v>
      </c>
      <c r="AG78" t="e">
        <f>AND(#REF!,"AAAAAD39myA=")</f>
        <v>#REF!</v>
      </c>
      <c r="AH78" t="e">
        <f>AND(#REF!,"AAAAAD39myE=")</f>
        <v>#REF!</v>
      </c>
      <c r="AI78" t="e">
        <f>AND(#REF!,"AAAAAD39myI=")</f>
        <v>#REF!</v>
      </c>
      <c r="AJ78" t="e">
        <f>AND(#REF!,"AAAAAD39myM=")</f>
        <v>#REF!</v>
      </c>
      <c r="AK78" t="e">
        <f>AND(#REF!,"AAAAAD39myQ=")</f>
        <v>#REF!</v>
      </c>
      <c r="AL78" t="e">
        <f>AND(#REF!,"AAAAAD39myU=")</f>
        <v>#REF!</v>
      </c>
      <c r="AM78" t="e">
        <f>IF(#REF!,"AAAAAD39myY=",0)</f>
        <v>#REF!</v>
      </c>
      <c r="AN78" t="e">
        <f>AND(#REF!,"AAAAAD39myc=")</f>
        <v>#REF!</v>
      </c>
      <c r="AO78" t="e">
        <f>AND(#REF!,"AAAAAD39myg=")</f>
        <v>#REF!</v>
      </c>
      <c r="AP78" t="e">
        <f>AND(#REF!,"AAAAAD39myk=")</f>
        <v>#REF!</v>
      </c>
      <c r="AQ78" t="e">
        <f>AND(#REF!,"AAAAAD39myo=")</f>
        <v>#REF!</v>
      </c>
      <c r="AR78" t="e">
        <f>AND(#REF!,"AAAAAD39mys=")</f>
        <v>#REF!</v>
      </c>
      <c r="AS78" t="e">
        <f>AND(#REF!,"AAAAAD39myw=")</f>
        <v>#REF!</v>
      </c>
      <c r="AT78" t="e">
        <f>AND(#REF!,"AAAAAD39my0=")</f>
        <v>#REF!</v>
      </c>
      <c r="AU78" t="e">
        <f>AND(#REF!,"AAAAAD39my4=")</f>
        <v>#REF!</v>
      </c>
      <c r="AV78" t="e">
        <f>AND(#REF!,"AAAAAD39my8=")</f>
        <v>#REF!</v>
      </c>
      <c r="AW78" t="e">
        <f>AND(#REF!,"AAAAAD39mzA=")</f>
        <v>#REF!</v>
      </c>
      <c r="AX78" t="e">
        <f>AND(#REF!,"AAAAAD39mzE=")</f>
        <v>#REF!</v>
      </c>
      <c r="AY78" t="e">
        <f>AND(#REF!,"AAAAAD39mzI=")</f>
        <v>#REF!</v>
      </c>
      <c r="AZ78" t="e">
        <f>AND(#REF!,"AAAAAD39mzM=")</f>
        <v>#REF!</v>
      </c>
      <c r="BA78" t="e">
        <f>AND(#REF!,"AAAAAD39mzQ=")</f>
        <v>#REF!</v>
      </c>
      <c r="BB78" t="e">
        <f>AND(#REF!,"AAAAAD39mzU=")</f>
        <v>#REF!</v>
      </c>
      <c r="BC78" t="e">
        <f>AND(#REF!,"AAAAAD39mzY=")</f>
        <v>#REF!</v>
      </c>
      <c r="BD78" t="e">
        <f>AND(#REF!,"AAAAAD39mzc=")</f>
        <v>#REF!</v>
      </c>
      <c r="BE78" t="e">
        <f>AND(#REF!,"AAAAAD39mzg=")</f>
        <v>#REF!</v>
      </c>
      <c r="BF78" t="e">
        <f>AND(#REF!,"AAAAAD39mzk=")</f>
        <v>#REF!</v>
      </c>
      <c r="BG78" t="e">
        <f>AND(#REF!,"AAAAAD39mzo=")</f>
        <v>#REF!</v>
      </c>
      <c r="BH78" t="e">
        <f>AND(#REF!,"AAAAAD39mzs=")</f>
        <v>#REF!</v>
      </c>
      <c r="BI78" t="e">
        <f>AND(#REF!,"AAAAAD39mzw=")</f>
        <v>#REF!</v>
      </c>
      <c r="BJ78" t="e">
        <f>AND(#REF!,"AAAAAD39mz0=")</f>
        <v>#REF!</v>
      </c>
      <c r="BK78" t="e">
        <f>AND(#REF!,"AAAAAD39mz4=")</f>
        <v>#REF!</v>
      </c>
      <c r="BL78" t="e">
        <f>AND(#REF!,"AAAAAD39mz8=")</f>
        <v>#REF!</v>
      </c>
      <c r="BM78" t="e">
        <f>AND(#REF!,"AAAAAD39m0A=")</f>
        <v>#REF!</v>
      </c>
      <c r="BN78" t="e">
        <f>IF(#REF!,"AAAAAD39m0E=",0)</f>
        <v>#REF!</v>
      </c>
      <c r="BO78" t="e">
        <f>AND(#REF!,"AAAAAD39m0I=")</f>
        <v>#REF!</v>
      </c>
      <c r="BP78" t="e">
        <f>AND(#REF!,"AAAAAD39m0M=")</f>
        <v>#REF!</v>
      </c>
      <c r="BQ78" t="e">
        <f>AND(#REF!,"AAAAAD39m0Q=")</f>
        <v>#REF!</v>
      </c>
      <c r="BR78" t="e">
        <f>AND(#REF!,"AAAAAD39m0U=")</f>
        <v>#REF!</v>
      </c>
      <c r="BS78" t="e">
        <f>AND(#REF!,"AAAAAD39m0Y=")</f>
        <v>#REF!</v>
      </c>
      <c r="BT78" t="e">
        <f>AND(#REF!,"AAAAAD39m0c=")</f>
        <v>#REF!</v>
      </c>
      <c r="BU78" t="e">
        <f>AND(#REF!,"AAAAAD39m0g=")</f>
        <v>#REF!</v>
      </c>
      <c r="BV78" t="e">
        <f>AND(#REF!,"AAAAAD39m0k=")</f>
        <v>#REF!</v>
      </c>
      <c r="BW78" t="e">
        <f>AND(#REF!,"AAAAAD39m0o=")</f>
        <v>#REF!</v>
      </c>
      <c r="BX78" t="e">
        <f>AND(#REF!,"AAAAAD39m0s=")</f>
        <v>#REF!</v>
      </c>
      <c r="BY78" t="e">
        <f>AND(#REF!,"AAAAAD39m0w=")</f>
        <v>#REF!</v>
      </c>
      <c r="BZ78" t="e">
        <f>AND(#REF!,"AAAAAD39m00=")</f>
        <v>#REF!</v>
      </c>
      <c r="CA78" t="e">
        <f>AND(#REF!,"AAAAAD39m04=")</f>
        <v>#REF!</v>
      </c>
      <c r="CB78" t="e">
        <f>AND(#REF!,"AAAAAD39m08=")</f>
        <v>#REF!</v>
      </c>
      <c r="CC78" t="e">
        <f>AND(#REF!,"AAAAAD39m1A=")</f>
        <v>#REF!</v>
      </c>
      <c r="CD78" t="e">
        <f>AND(#REF!,"AAAAAD39m1E=")</f>
        <v>#REF!</v>
      </c>
      <c r="CE78" t="e">
        <f>AND(#REF!,"AAAAAD39m1I=")</f>
        <v>#REF!</v>
      </c>
      <c r="CF78" t="e">
        <f>AND(#REF!,"AAAAAD39m1M=")</f>
        <v>#REF!</v>
      </c>
      <c r="CG78" t="e">
        <f>AND(#REF!,"AAAAAD39m1Q=")</f>
        <v>#REF!</v>
      </c>
      <c r="CH78" t="e">
        <f>AND(#REF!,"AAAAAD39m1U=")</f>
        <v>#REF!</v>
      </c>
      <c r="CI78" t="e">
        <f>AND(#REF!,"AAAAAD39m1Y=")</f>
        <v>#REF!</v>
      </c>
      <c r="CJ78" t="e">
        <f>AND(#REF!,"AAAAAD39m1c=")</f>
        <v>#REF!</v>
      </c>
      <c r="CK78" t="e">
        <f>AND(#REF!,"AAAAAD39m1g=")</f>
        <v>#REF!</v>
      </c>
      <c r="CL78" t="e">
        <f>AND(#REF!,"AAAAAD39m1k=")</f>
        <v>#REF!</v>
      </c>
      <c r="CM78" t="e">
        <f>AND(#REF!,"AAAAAD39m1o=")</f>
        <v>#REF!</v>
      </c>
      <c r="CN78" t="e">
        <f>AND(#REF!,"AAAAAD39m1s=")</f>
        <v>#REF!</v>
      </c>
      <c r="CO78" t="e">
        <f>IF(#REF!,"AAAAAD39m1w=",0)</f>
        <v>#REF!</v>
      </c>
      <c r="CP78" t="e">
        <f>AND(#REF!,"AAAAAD39m10=")</f>
        <v>#REF!</v>
      </c>
      <c r="CQ78" t="e">
        <f>AND(#REF!,"AAAAAD39m14=")</f>
        <v>#REF!</v>
      </c>
      <c r="CR78" t="e">
        <f>AND(#REF!,"AAAAAD39m18=")</f>
        <v>#REF!</v>
      </c>
      <c r="CS78" t="e">
        <f>AND(#REF!,"AAAAAD39m2A=")</f>
        <v>#REF!</v>
      </c>
      <c r="CT78" t="e">
        <f>AND(#REF!,"AAAAAD39m2E=")</f>
        <v>#REF!</v>
      </c>
      <c r="CU78" t="e">
        <f>AND(#REF!,"AAAAAD39m2I=")</f>
        <v>#REF!</v>
      </c>
      <c r="CV78" t="e">
        <f>AND(#REF!,"AAAAAD39m2M=")</f>
        <v>#REF!</v>
      </c>
      <c r="CW78" t="e">
        <f>AND(#REF!,"AAAAAD39m2Q=")</f>
        <v>#REF!</v>
      </c>
      <c r="CX78" t="e">
        <f>AND(#REF!,"AAAAAD39m2U=")</f>
        <v>#REF!</v>
      </c>
      <c r="CY78" t="e">
        <f>AND(#REF!,"AAAAAD39m2Y=")</f>
        <v>#REF!</v>
      </c>
      <c r="CZ78" t="e">
        <f>AND(#REF!,"AAAAAD39m2c=")</f>
        <v>#REF!</v>
      </c>
      <c r="DA78" t="e">
        <f>AND(#REF!,"AAAAAD39m2g=")</f>
        <v>#REF!</v>
      </c>
      <c r="DB78" t="e">
        <f>AND(#REF!,"AAAAAD39m2k=")</f>
        <v>#REF!</v>
      </c>
      <c r="DC78" t="e">
        <f>AND(#REF!,"AAAAAD39m2o=")</f>
        <v>#REF!</v>
      </c>
      <c r="DD78" t="e">
        <f>AND(#REF!,"AAAAAD39m2s=")</f>
        <v>#REF!</v>
      </c>
      <c r="DE78" t="e">
        <f>AND(#REF!,"AAAAAD39m2w=")</f>
        <v>#REF!</v>
      </c>
      <c r="DF78" t="e">
        <f>AND(#REF!,"AAAAAD39m20=")</f>
        <v>#REF!</v>
      </c>
      <c r="DG78" t="e">
        <f>AND(#REF!,"AAAAAD39m24=")</f>
        <v>#REF!</v>
      </c>
      <c r="DH78" t="e">
        <f>AND(#REF!,"AAAAAD39m28=")</f>
        <v>#REF!</v>
      </c>
      <c r="DI78" t="e">
        <f>AND(#REF!,"AAAAAD39m3A=")</f>
        <v>#REF!</v>
      </c>
      <c r="DJ78" t="e">
        <f>AND(#REF!,"AAAAAD39m3E=")</f>
        <v>#REF!</v>
      </c>
      <c r="DK78" t="e">
        <f>AND(#REF!,"AAAAAD39m3I=")</f>
        <v>#REF!</v>
      </c>
      <c r="DL78" t="e">
        <f>AND(#REF!,"AAAAAD39m3M=")</f>
        <v>#REF!</v>
      </c>
      <c r="DM78" t="e">
        <f>AND(#REF!,"AAAAAD39m3Q=")</f>
        <v>#REF!</v>
      </c>
      <c r="DN78" t="e">
        <f>AND(#REF!,"AAAAAD39m3U=")</f>
        <v>#REF!</v>
      </c>
      <c r="DO78" t="e">
        <f>AND(#REF!,"AAAAAD39m3Y=")</f>
        <v>#REF!</v>
      </c>
      <c r="DP78" t="e">
        <f>IF(#REF!,"AAAAAD39m3c=",0)</f>
        <v>#REF!</v>
      </c>
      <c r="DQ78" t="e">
        <f>AND(#REF!,"AAAAAD39m3g=")</f>
        <v>#REF!</v>
      </c>
      <c r="DR78" t="e">
        <f>AND(#REF!,"AAAAAD39m3k=")</f>
        <v>#REF!</v>
      </c>
      <c r="DS78" t="e">
        <f>AND(#REF!,"AAAAAD39m3o=")</f>
        <v>#REF!</v>
      </c>
      <c r="DT78" t="e">
        <f>AND(#REF!,"AAAAAD39m3s=")</f>
        <v>#REF!</v>
      </c>
      <c r="DU78" t="e">
        <f>AND(#REF!,"AAAAAD39m3w=")</f>
        <v>#REF!</v>
      </c>
      <c r="DV78" t="e">
        <f>AND(#REF!,"AAAAAD39m30=")</f>
        <v>#REF!</v>
      </c>
      <c r="DW78" t="e">
        <f>AND(#REF!,"AAAAAD39m34=")</f>
        <v>#REF!</v>
      </c>
      <c r="DX78" t="e">
        <f>AND(#REF!,"AAAAAD39m38=")</f>
        <v>#REF!</v>
      </c>
      <c r="DY78" t="e">
        <f>AND(#REF!,"AAAAAD39m4A=")</f>
        <v>#REF!</v>
      </c>
      <c r="DZ78" t="e">
        <f>AND(#REF!,"AAAAAD39m4E=")</f>
        <v>#REF!</v>
      </c>
      <c r="EA78" t="e">
        <f>AND(#REF!,"AAAAAD39m4I=")</f>
        <v>#REF!</v>
      </c>
      <c r="EB78" t="e">
        <f>AND(#REF!,"AAAAAD39m4M=")</f>
        <v>#REF!</v>
      </c>
      <c r="EC78" t="e">
        <f>AND(#REF!,"AAAAAD39m4Q=")</f>
        <v>#REF!</v>
      </c>
      <c r="ED78" t="e">
        <f>AND(#REF!,"AAAAAD39m4U=")</f>
        <v>#REF!</v>
      </c>
      <c r="EE78" t="e">
        <f>AND(#REF!,"AAAAAD39m4Y=")</f>
        <v>#REF!</v>
      </c>
      <c r="EF78" t="e">
        <f>AND(#REF!,"AAAAAD39m4c=")</f>
        <v>#REF!</v>
      </c>
      <c r="EG78" t="e">
        <f>AND(#REF!,"AAAAAD39m4g=")</f>
        <v>#REF!</v>
      </c>
      <c r="EH78" t="e">
        <f>AND(#REF!,"AAAAAD39m4k=")</f>
        <v>#REF!</v>
      </c>
      <c r="EI78" t="e">
        <f>AND(#REF!,"AAAAAD39m4o=")</f>
        <v>#REF!</v>
      </c>
      <c r="EJ78" t="e">
        <f>AND(#REF!,"AAAAAD39m4s=")</f>
        <v>#REF!</v>
      </c>
      <c r="EK78" t="e">
        <f>AND(#REF!,"AAAAAD39m4w=")</f>
        <v>#REF!</v>
      </c>
      <c r="EL78" t="e">
        <f>AND(#REF!,"AAAAAD39m40=")</f>
        <v>#REF!</v>
      </c>
      <c r="EM78" t="e">
        <f>AND(#REF!,"AAAAAD39m44=")</f>
        <v>#REF!</v>
      </c>
      <c r="EN78" t="e">
        <f>AND(#REF!,"AAAAAD39m48=")</f>
        <v>#REF!</v>
      </c>
      <c r="EO78" t="e">
        <f>AND(#REF!,"AAAAAD39m5A=")</f>
        <v>#REF!</v>
      </c>
      <c r="EP78" t="e">
        <f>AND(#REF!,"AAAAAD39m5E=")</f>
        <v>#REF!</v>
      </c>
      <c r="EQ78" t="e">
        <f>IF(#REF!,"AAAAAD39m5I=",0)</f>
        <v>#REF!</v>
      </c>
      <c r="ER78" t="e">
        <f>AND(#REF!,"AAAAAD39m5M=")</f>
        <v>#REF!</v>
      </c>
      <c r="ES78" t="e">
        <f>AND(#REF!,"AAAAAD39m5Q=")</f>
        <v>#REF!</v>
      </c>
      <c r="ET78" t="e">
        <f>AND(#REF!,"AAAAAD39m5U=")</f>
        <v>#REF!</v>
      </c>
      <c r="EU78" t="e">
        <f>AND(#REF!,"AAAAAD39m5Y=")</f>
        <v>#REF!</v>
      </c>
      <c r="EV78" t="e">
        <f>AND(#REF!,"AAAAAD39m5c=")</f>
        <v>#REF!</v>
      </c>
      <c r="EW78" t="e">
        <f>AND(#REF!,"AAAAAD39m5g=")</f>
        <v>#REF!</v>
      </c>
      <c r="EX78" t="e">
        <f>AND(#REF!,"AAAAAD39m5k=")</f>
        <v>#REF!</v>
      </c>
      <c r="EY78" t="e">
        <f>AND(#REF!,"AAAAAD39m5o=")</f>
        <v>#REF!</v>
      </c>
      <c r="EZ78" t="e">
        <f>AND(#REF!,"AAAAAD39m5s=")</f>
        <v>#REF!</v>
      </c>
      <c r="FA78" t="e">
        <f>AND(#REF!,"AAAAAD39m5w=")</f>
        <v>#REF!</v>
      </c>
      <c r="FB78" t="e">
        <f>AND(#REF!,"AAAAAD39m50=")</f>
        <v>#REF!</v>
      </c>
      <c r="FC78" t="e">
        <f>AND(#REF!,"AAAAAD39m54=")</f>
        <v>#REF!</v>
      </c>
      <c r="FD78" t="e">
        <f>AND(#REF!,"AAAAAD39m58=")</f>
        <v>#REF!</v>
      </c>
      <c r="FE78" t="e">
        <f>AND(#REF!,"AAAAAD39m6A=")</f>
        <v>#REF!</v>
      </c>
      <c r="FF78" t="e">
        <f>AND(#REF!,"AAAAAD39m6E=")</f>
        <v>#REF!</v>
      </c>
      <c r="FG78" t="e">
        <f>AND(#REF!,"AAAAAD39m6I=")</f>
        <v>#REF!</v>
      </c>
      <c r="FH78" t="e">
        <f>AND(#REF!,"AAAAAD39m6M=")</f>
        <v>#REF!</v>
      </c>
      <c r="FI78" t="e">
        <f>AND(#REF!,"AAAAAD39m6Q=")</f>
        <v>#REF!</v>
      </c>
      <c r="FJ78" t="e">
        <f>AND(#REF!,"AAAAAD39m6U=")</f>
        <v>#REF!</v>
      </c>
      <c r="FK78" t="e">
        <f>AND(#REF!,"AAAAAD39m6Y=")</f>
        <v>#REF!</v>
      </c>
      <c r="FL78" t="e">
        <f>AND(#REF!,"AAAAAD39m6c=")</f>
        <v>#REF!</v>
      </c>
      <c r="FM78" t="e">
        <f>AND(#REF!,"AAAAAD39m6g=")</f>
        <v>#REF!</v>
      </c>
      <c r="FN78" t="e">
        <f>AND(#REF!,"AAAAAD39m6k=")</f>
        <v>#REF!</v>
      </c>
      <c r="FO78" t="e">
        <f>AND(#REF!,"AAAAAD39m6o=")</f>
        <v>#REF!</v>
      </c>
      <c r="FP78" t="e">
        <f>AND(#REF!,"AAAAAD39m6s=")</f>
        <v>#REF!</v>
      </c>
      <c r="FQ78" t="e">
        <f>AND(#REF!,"AAAAAD39m6w=")</f>
        <v>#REF!</v>
      </c>
      <c r="FR78" t="e">
        <f>IF(#REF!,"AAAAAD39m60=",0)</f>
        <v>#REF!</v>
      </c>
      <c r="FS78" t="e">
        <f>AND(#REF!,"AAAAAD39m64=")</f>
        <v>#REF!</v>
      </c>
      <c r="FT78" t="e">
        <f>AND(#REF!,"AAAAAD39m68=")</f>
        <v>#REF!</v>
      </c>
      <c r="FU78" t="e">
        <f>AND(#REF!,"AAAAAD39m7A=")</f>
        <v>#REF!</v>
      </c>
      <c r="FV78" t="e">
        <f>AND(#REF!,"AAAAAD39m7E=")</f>
        <v>#REF!</v>
      </c>
      <c r="FW78" t="e">
        <f>AND(#REF!,"AAAAAD39m7I=")</f>
        <v>#REF!</v>
      </c>
      <c r="FX78" t="e">
        <f>AND(#REF!,"AAAAAD39m7M=")</f>
        <v>#REF!</v>
      </c>
      <c r="FY78" t="e">
        <f>AND(#REF!,"AAAAAD39m7Q=")</f>
        <v>#REF!</v>
      </c>
      <c r="FZ78" t="e">
        <f>AND(#REF!,"AAAAAD39m7U=")</f>
        <v>#REF!</v>
      </c>
      <c r="GA78" t="e">
        <f>AND(#REF!,"AAAAAD39m7Y=")</f>
        <v>#REF!</v>
      </c>
      <c r="GB78" t="e">
        <f>AND(#REF!,"AAAAAD39m7c=")</f>
        <v>#REF!</v>
      </c>
      <c r="GC78" t="e">
        <f>AND(#REF!,"AAAAAD39m7g=")</f>
        <v>#REF!</v>
      </c>
      <c r="GD78" t="e">
        <f>AND(#REF!,"AAAAAD39m7k=")</f>
        <v>#REF!</v>
      </c>
      <c r="GE78" t="e">
        <f>AND(#REF!,"AAAAAD39m7o=")</f>
        <v>#REF!</v>
      </c>
      <c r="GF78" t="e">
        <f>AND(#REF!,"AAAAAD39m7s=")</f>
        <v>#REF!</v>
      </c>
      <c r="GG78" t="e">
        <f>AND(#REF!,"AAAAAD39m7w=")</f>
        <v>#REF!</v>
      </c>
      <c r="GH78" t="e">
        <f>AND(#REF!,"AAAAAD39m70=")</f>
        <v>#REF!</v>
      </c>
      <c r="GI78" t="e">
        <f>AND(#REF!,"AAAAAD39m74=")</f>
        <v>#REF!</v>
      </c>
      <c r="GJ78" t="e">
        <f>AND(#REF!,"AAAAAD39m78=")</f>
        <v>#REF!</v>
      </c>
      <c r="GK78" t="e">
        <f>AND(#REF!,"AAAAAD39m8A=")</f>
        <v>#REF!</v>
      </c>
      <c r="GL78" t="e">
        <f>AND(#REF!,"AAAAAD39m8E=")</f>
        <v>#REF!</v>
      </c>
      <c r="GM78" t="e">
        <f>AND(#REF!,"AAAAAD39m8I=")</f>
        <v>#REF!</v>
      </c>
      <c r="GN78" t="e">
        <f>AND(#REF!,"AAAAAD39m8M=")</f>
        <v>#REF!</v>
      </c>
      <c r="GO78" t="e">
        <f>AND(#REF!,"AAAAAD39m8Q=")</f>
        <v>#REF!</v>
      </c>
      <c r="GP78" t="e">
        <f>AND(#REF!,"AAAAAD39m8U=")</f>
        <v>#REF!</v>
      </c>
      <c r="GQ78" t="e">
        <f>AND(#REF!,"AAAAAD39m8Y=")</f>
        <v>#REF!</v>
      </c>
      <c r="GR78" t="e">
        <f>AND(#REF!,"AAAAAD39m8c=")</f>
        <v>#REF!</v>
      </c>
      <c r="GS78" t="e">
        <f>IF(#REF!,"AAAAAD39m8g=",0)</f>
        <v>#REF!</v>
      </c>
      <c r="GT78" t="e">
        <f>AND(#REF!,"AAAAAD39m8k=")</f>
        <v>#REF!</v>
      </c>
      <c r="GU78" t="e">
        <f>AND(#REF!,"AAAAAD39m8o=")</f>
        <v>#REF!</v>
      </c>
      <c r="GV78" t="e">
        <f>AND(#REF!,"AAAAAD39m8s=")</f>
        <v>#REF!</v>
      </c>
      <c r="GW78" t="e">
        <f>AND(#REF!,"AAAAAD39m8w=")</f>
        <v>#REF!</v>
      </c>
      <c r="GX78" t="e">
        <f>AND(#REF!,"AAAAAD39m80=")</f>
        <v>#REF!</v>
      </c>
      <c r="GY78" t="e">
        <f>AND(#REF!,"AAAAAD39m84=")</f>
        <v>#REF!</v>
      </c>
      <c r="GZ78" t="e">
        <f>AND(#REF!,"AAAAAD39m88=")</f>
        <v>#REF!</v>
      </c>
      <c r="HA78" t="e">
        <f>AND(#REF!,"AAAAAD39m9A=")</f>
        <v>#REF!</v>
      </c>
      <c r="HB78" t="e">
        <f>AND(#REF!,"AAAAAD39m9E=")</f>
        <v>#REF!</v>
      </c>
      <c r="HC78" t="e">
        <f>AND(#REF!,"AAAAAD39m9I=")</f>
        <v>#REF!</v>
      </c>
      <c r="HD78" t="e">
        <f>AND(#REF!,"AAAAAD39m9M=")</f>
        <v>#REF!</v>
      </c>
      <c r="HE78" t="e">
        <f>AND(#REF!,"AAAAAD39m9Q=")</f>
        <v>#REF!</v>
      </c>
      <c r="HF78" t="e">
        <f>AND(#REF!,"AAAAAD39m9U=")</f>
        <v>#REF!</v>
      </c>
      <c r="HG78" t="e">
        <f>AND(#REF!,"AAAAAD39m9Y=")</f>
        <v>#REF!</v>
      </c>
      <c r="HH78" t="e">
        <f>AND(#REF!,"AAAAAD39m9c=")</f>
        <v>#REF!</v>
      </c>
      <c r="HI78" t="e">
        <f>AND(#REF!,"AAAAAD39m9g=")</f>
        <v>#REF!</v>
      </c>
      <c r="HJ78" t="e">
        <f>AND(#REF!,"AAAAAD39m9k=")</f>
        <v>#REF!</v>
      </c>
      <c r="HK78" t="e">
        <f>AND(#REF!,"AAAAAD39m9o=")</f>
        <v>#REF!</v>
      </c>
      <c r="HL78" t="e">
        <f>AND(#REF!,"AAAAAD39m9s=")</f>
        <v>#REF!</v>
      </c>
      <c r="HM78" t="e">
        <f>AND(#REF!,"AAAAAD39m9w=")</f>
        <v>#REF!</v>
      </c>
      <c r="HN78" t="e">
        <f>AND(#REF!,"AAAAAD39m90=")</f>
        <v>#REF!</v>
      </c>
      <c r="HO78" t="e">
        <f>AND(#REF!,"AAAAAD39m94=")</f>
        <v>#REF!</v>
      </c>
      <c r="HP78" t="e">
        <f>AND(#REF!,"AAAAAD39m98=")</f>
        <v>#REF!</v>
      </c>
      <c r="HQ78" t="e">
        <f>AND(#REF!,"AAAAAD39m+A=")</f>
        <v>#REF!</v>
      </c>
      <c r="HR78" t="e">
        <f>AND(#REF!,"AAAAAD39m+E=")</f>
        <v>#REF!</v>
      </c>
      <c r="HS78" t="e">
        <f>AND(#REF!,"AAAAAD39m+I=")</f>
        <v>#REF!</v>
      </c>
      <c r="HT78" t="e">
        <f>IF(#REF!,"AAAAAD39m+M=",0)</f>
        <v>#REF!</v>
      </c>
      <c r="HU78" t="e">
        <f>AND(#REF!,"AAAAAD39m+Q=")</f>
        <v>#REF!</v>
      </c>
      <c r="HV78" t="e">
        <f>AND(#REF!,"AAAAAD39m+U=")</f>
        <v>#REF!</v>
      </c>
      <c r="HW78" t="e">
        <f>AND(#REF!,"AAAAAD39m+Y=")</f>
        <v>#REF!</v>
      </c>
      <c r="HX78" t="e">
        <f>AND(#REF!,"AAAAAD39m+c=")</f>
        <v>#REF!</v>
      </c>
      <c r="HY78" t="e">
        <f>AND(#REF!,"AAAAAD39m+g=")</f>
        <v>#REF!</v>
      </c>
      <c r="HZ78" t="e">
        <f>AND(#REF!,"AAAAAD39m+k=")</f>
        <v>#REF!</v>
      </c>
      <c r="IA78" t="e">
        <f>AND(#REF!,"AAAAAD39m+o=")</f>
        <v>#REF!</v>
      </c>
      <c r="IB78" t="e">
        <f>AND(#REF!,"AAAAAD39m+s=")</f>
        <v>#REF!</v>
      </c>
      <c r="IC78" t="e">
        <f>AND(#REF!,"AAAAAD39m+w=")</f>
        <v>#REF!</v>
      </c>
      <c r="ID78" t="e">
        <f>AND(#REF!,"AAAAAD39m+0=")</f>
        <v>#REF!</v>
      </c>
      <c r="IE78" t="e">
        <f>AND(#REF!,"AAAAAD39m+4=")</f>
        <v>#REF!</v>
      </c>
      <c r="IF78" t="e">
        <f>AND(#REF!,"AAAAAD39m+8=")</f>
        <v>#REF!</v>
      </c>
      <c r="IG78" t="e">
        <f>AND(#REF!,"AAAAAD39m/A=")</f>
        <v>#REF!</v>
      </c>
      <c r="IH78" t="e">
        <f>AND(#REF!,"AAAAAD39m/E=")</f>
        <v>#REF!</v>
      </c>
      <c r="II78" t="e">
        <f>AND(#REF!,"AAAAAD39m/I=")</f>
        <v>#REF!</v>
      </c>
      <c r="IJ78" t="e">
        <f>AND(#REF!,"AAAAAD39m/M=")</f>
        <v>#REF!</v>
      </c>
      <c r="IK78" t="e">
        <f>AND(#REF!,"AAAAAD39m/Q=")</f>
        <v>#REF!</v>
      </c>
      <c r="IL78" t="e">
        <f>AND(#REF!,"AAAAAD39m/U=")</f>
        <v>#REF!</v>
      </c>
      <c r="IM78" t="e">
        <f>AND(#REF!,"AAAAAD39m/Y=")</f>
        <v>#REF!</v>
      </c>
      <c r="IN78" t="e">
        <f>AND(#REF!,"AAAAAD39m/c=")</f>
        <v>#REF!</v>
      </c>
      <c r="IO78" t="e">
        <f>AND(#REF!,"AAAAAD39m/g=")</f>
        <v>#REF!</v>
      </c>
      <c r="IP78" t="e">
        <f>AND(#REF!,"AAAAAD39m/k=")</f>
        <v>#REF!</v>
      </c>
      <c r="IQ78" t="e">
        <f>AND(#REF!,"AAAAAD39m/o=")</f>
        <v>#REF!</v>
      </c>
      <c r="IR78" t="e">
        <f>AND(#REF!,"AAAAAD39m/s=")</f>
        <v>#REF!</v>
      </c>
      <c r="IS78" t="e">
        <f>AND(#REF!,"AAAAAD39m/w=")</f>
        <v>#REF!</v>
      </c>
      <c r="IT78" t="e">
        <f>AND(#REF!,"AAAAAD39m/0=")</f>
        <v>#REF!</v>
      </c>
      <c r="IU78" t="e">
        <f>IF(#REF!,"AAAAAD39m/4=",0)</f>
        <v>#REF!</v>
      </c>
      <c r="IV78" t="e">
        <f>AND(#REF!,"AAAAAD39m/8=")</f>
        <v>#REF!</v>
      </c>
    </row>
    <row r="79" spans="1:256" x14ac:dyDescent="0.2">
      <c r="A79" t="e">
        <f>AND(#REF!,"AAAAAFZnXgA=")</f>
        <v>#REF!</v>
      </c>
      <c r="B79" t="e">
        <f>AND(#REF!,"AAAAAFZnXgE=")</f>
        <v>#REF!</v>
      </c>
      <c r="C79" t="e">
        <f>AND(#REF!,"AAAAAFZnXgI=")</f>
        <v>#REF!</v>
      </c>
      <c r="D79" t="e">
        <f>AND(#REF!,"AAAAAFZnXgM=")</f>
        <v>#REF!</v>
      </c>
      <c r="E79" t="e">
        <f>AND(#REF!,"AAAAAFZnXgQ=")</f>
        <v>#REF!</v>
      </c>
      <c r="F79" t="e">
        <f>AND(#REF!,"AAAAAFZnXgU=")</f>
        <v>#REF!</v>
      </c>
      <c r="G79" t="e">
        <f>AND(#REF!,"AAAAAFZnXgY=")</f>
        <v>#REF!</v>
      </c>
      <c r="H79" t="e">
        <f>AND(#REF!,"AAAAAFZnXgc=")</f>
        <v>#REF!</v>
      </c>
      <c r="I79" t="e">
        <f>AND(#REF!,"AAAAAFZnXgg=")</f>
        <v>#REF!</v>
      </c>
      <c r="J79" t="e">
        <f>AND(#REF!,"AAAAAFZnXgk=")</f>
        <v>#REF!</v>
      </c>
      <c r="K79" t="e">
        <f>AND(#REF!,"AAAAAFZnXgo=")</f>
        <v>#REF!</v>
      </c>
      <c r="L79" t="e">
        <f>AND(#REF!,"AAAAAFZnXgs=")</f>
        <v>#REF!</v>
      </c>
      <c r="M79" t="e">
        <f>AND(#REF!,"AAAAAFZnXgw=")</f>
        <v>#REF!</v>
      </c>
      <c r="N79" t="e">
        <f>AND(#REF!,"AAAAAFZnXg0=")</f>
        <v>#REF!</v>
      </c>
      <c r="O79" t="e">
        <f>AND(#REF!,"AAAAAFZnXg4=")</f>
        <v>#REF!</v>
      </c>
      <c r="P79" t="e">
        <f>AND(#REF!,"AAAAAFZnXg8=")</f>
        <v>#REF!</v>
      </c>
      <c r="Q79" t="e">
        <f>AND(#REF!,"AAAAAFZnXhA=")</f>
        <v>#REF!</v>
      </c>
      <c r="R79" t="e">
        <f>AND(#REF!,"AAAAAFZnXhE=")</f>
        <v>#REF!</v>
      </c>
      <c r="S79" t="e">
        <f>AND(#REF!,"AAAAAFZnXhI=")</f>
        <v>#REF!</v>
      </c>
      <c r="T79" t="e">
        <f>AND(#REF!,"AAAAAFZnXhM=")</f>
        <v>#REF!</v>
      </c>
      <c r="U79" t="e">
        <f>AND(#REF!,"AAAAAFZnXhQ=")</f>
        <v>#REF!</v>
      </c>
      <c r="V79" t="e">
        <f>AND(#REF!,"AAAAAFZnXhU=")</f>
        <v>#REF!</v>
      </c>
      <c r="W79" t="e">
        <f>AND(#REF!,"AAAAAFZnXhY=")</f>
        <v>#REF!</v>
      </c>
      <c r="X79" t="e">
        <f>AND(#REF!,"AAAAAFZnXhc=")</f>
        <v>#REF!</v>
      </c>
      <c r="Y79" t="e">
        <f>AND(#REF!,"AAAAAFZnXhg=")</f>
        <v>#REF!</v>
      </c>
      <c r="Z79" t="e">
        <f>IF(#REF!,"AAAAAFZnXhk=",0)</f>
        <v>#REF!</v>
      </c>
      <c r="AA79" t="e">
        <f>AND(#REF!,"AAAAAFZnXho=")</f>
        <v>#REF!</v>
      </c>
      <c r="AB79" t="e">
        <f>AND(#REF!,"AAAAAFZnXhs=")</f>
        <v>#REF!</v>
      </c>
      <c r="AC79" t="e">
        <f>AND(#REF!,"AAAAAFZnXhw=")</f>
        <v>#REF!</v>
      </c>
      <c r="AD79" t="e">
        <f>AND(#REF!,"AAAAAFZnXh0=")</f>
        <v>#REF!</v>
      </c>
      <c r="AE79" t="e">
        <f>AND(#REF!,"AAAAAFZnXh4=")</f>
        <v>#REF!</v>
      </c>
      <c r="AF79" t="e">
        <f>AND(#REF!,"AAAAAFZnXh8=")</f>
        <v>#REF!</v>
      </c>
      <c r="AG79" t="e">
        <f>AND(#REF!,"AAAAAFZnXiA=")</f>
        <v>#REF!</v>
      </c>
      <c r="AH79" t="e">
        <f>AND(#REF!,"AAAAAFZnXiE=")</f>
        <v>#REF!</v>
      </c>
      <c r="AI79" t="e">
        <f>AND(#REF!,"AAAAAFZnXiI=")</f>
        <v>#REF!</v>
      </c>
      <c r="AJ79" t="e">
        <f>AND(#REF!,"AAAAAFZnXiM=")</f>
        <v>#REF!</v>
      </c>
      <c r="AK79" t="e">
        <f>AND(#REF!,"AAAAAFZnXiQ=")</f>
        <v>#REF!</v>
      </c>
      <c r="AL79" t="e">
        <f>AND(#REF!,"AAAAAFZnXiU=")</f>
        <v>#REF!</v>
      </c>
      <c r="AM79" t="e">
        <f>AND(#REF!,"AAAAAFZnXiY=")</f>
        <v>#REF!</v>
      </c>
      <c r="AN79" t="e">
        <f>AND(#REF!,"AAAAAFZnXic=")</f>
        <v>#REF!</v>
      </c>
      <c r="AO79" t="e">
        <f>AND(#REF!,"AAAAAFZnXig=")</f>
        <v>#REF!</v>
      </c>
      <c r="AP79" t="e">
        <f>AND(#REF!,"AAAAAFZnXik=")</f>
        <v>#REF!</v>
      </c>
      <c r="AQ79" t="e">
        <f>AND(#REF!,"AAAAAFZnXio=")</f>
        <v>#REF!</v>
      </c>
      <c r="AR79" t="e">
        <f>AND(#REF!,"AAAAAFZnXis=")</f>
        <v>#REF!</v>
      </c>
      <c r="AS79" t="e">
        <f>AND(#REF!,"AAAAAFZnXiw=")</f>
        <v>#REF!</v>
      </c>
      <c r="AT79" t="e">
        <f>AND(#REF!,"AAAAAFZnXi0=")</f>
        <v>#REF!</v>
      </c>
      <c r="AU79" t="e">
        <f>AND(#REF!,"AAAAAFZnXi4=")</f>
        <v>#REF!</v>
      </c>
      <c r="AV79" t="e">
        <f>AND(#REF!,"AAAAAFZnXi8=")</f>
        <v>#REF!</v>
      </c>
      <c r="AW79" t="e">
        <f>AND(#REF!,"AAAAAFZnXjA=")</f>
        <v>#REF!</v>
      </c>
      <c r="AX79" t="e">
        <f>AND(#REF!,"AAAAAFZnXjE=")</f>
        <v>#REF!</v>
      </c>
      <c r="AY79" t="e">
        <f>AND(#REF!,"AAAAAFZnXjI=")</f>
        <v>#REF!</v>
      </c>
      <c r="AZ79" t="e">
        <f>AND(#REF!,"AAAAAFZnXjM=")</f>
        <v>#REF!</v>
      </c>
      <c r="BA79" t="e">
        <f>IF(#REF!,"AAAAAFZnXjQ=",0)</f>
        <v>#REF!</v>
      </c>
      <c r="BB79" t="e">
        <f>AND(#REF!,"AAAAAFZnXjU=")</f>
        <v>#REF!</v>
      </c>
      <c r="BC79" t="e">
        <f>AND(#REF!,"AAAAAFZnXjY=")</f>
        <v>#REF!</v>
      </c>
      <c r="BD79" t="e">
        <f>AND(#REF!,"AAAAAFZnXjc=")</f>
        <v>#REF!</v>
      </c>
      <c r="BE79" t="e">
        <f>AND(#REF!,"AAAAAFZnXjg=")</f>
        <v>#REF!</v>
      </c>
      <c r="BF79" t="e">
        <f>AND(#REF!,"AAAAAFZnXjk=")</f>
        <v>#REF!</v>
      </c>
      <c r="BG79" t="e">
        <f>AND(#REF!,"AAAAAFZnXjo=")</f>
        <v>#REF!</v>
      </c>
      <c r="BH79" t="e">
        <f>AND(#REF!,"AAAAAFZnXjs=")</f>
        <v>#REF!</v>
      </c>
      <c r="BI79" t="e">
        <f>AND(#REF!,"AAAAAFZnXjw=")</f>
        <v>#REF!</v>
      </c>
      <c r="BJ79" t="e">
        <f>AND(#REF!,"AAAAAFZnXj0=")</f>
        <v>#REF!</v>
      </c>
      <c r="BK79" t="e">
        <f>AND(#REF!,"AAAAAFZnXj4=")</f>
        <v>#REF!</v>
      </c>
      <c r="BL79" t="e">
        <f>AND(#REF!,"AAAAAFZnXj8=")</f>
        <v>#REF!</v>
      </c>
      <c r="BM79" t="e">
        <f>AND(#REF!,"AAAAAFZnXkA=")</f>
        <v>#REF!</v>
      </c>
      <c r="BN79" t="e">
        <f>AND(#REF!,"AAAAAFZnXkE=")</f>
        <v>#REF!</v>
      </c>
      <c r="BO79" t="e">
        <f>AND(#REF!,"AAAAAFZnXkI=")</f>
        <v>#REF!</v>
      </c>
      <c r="BP79" t="e">
        <f>AND(#REF!,"AAAAAFZnXkM=")</f>
        <v>#REF!</v>
      </c>
      <c r="BQ79" t="e">
        <f>AND(#REF!,"AAAAAFZnXkQ=")</f>
        <v>#REF!</v>
      </c>
      <c r="BR79" t="e">
        <f>AND(#REF!,"AAAAAFZnXkU=")</f>
        <v>#REF!</v>
      </c>
      <c r="BS79" t="e">
        <f>AND(#REF!,"AAAAAFZnXkY=")</f>
        <v>#REF!</v>
      </c>
      <c r="BT79" t="e">
        <f>AND(#REF!,"AAAAAFZnXkc=")</f>
        <v>#REF!</v>
      </c>
      <c r="BU79" t="e">
        <f>AND(#REF!,"AAAAAFZnXkg=")</f>
        <v>#REF!</v>
      </c>
      <c r="BV79" t="e">
        <f>AND(#REF!,"AAAAAFZnXkk=")</f>
        <v>#REF!</v>
      </c>
      <c r="BW79" t="e">
        <f>AND(#REF!,"AAAAAFZnXko=")</f>
        <v>#REF!</v>
      </c>
      <c r="BX79" t="e">
        <f>AND(#REF!,"AAAAAFZnXks=")</f>
        <v>#REF!</v>
      </c>
      <c r="BY79" t="e">
        <f>AND(#REF!,"AAAAAFZnXkw=")</f>
        <v>#REF!</v>
      </c>
      <c r="BZ79" t="e">
        <f>AND(#REF!,"AAAAAFZnXk0=")</f>
        <v>#REF!</v>
      </c>
      <c r="CA79" t="e">
        <f>AND(#REF!,"AAAAAFZnXk4=")</f>
        <v>#REF!</v>
      </c>
      <c r="CB79" t="e">
        <f>IF(#REF!,"AAAAAFZnXk8=",0)</f>
        <v>#REF!</v>
      </c>
      <c r="CC79" t="e">
        <f>AND(#REF!,"AAAAAFZnXlA=")</f>
        <v>#REF!</v>
      </c>
      <c r="CD79" t="e">
        <f>AND(#REF!,"AAAAAFZnXlE=")</f>
        <v>#REF!</v>
      </c>
      <c r="CE79" t="e">
        <f>AND(#REF!,"AAAAAFZnXlI=")</f>
        <v>#REF!</v>
      </c>
      <c r="CF79" t="e">
        <f>AND(#REF!,"AAAAAFZnXlM=")</f>
        <v>#REF!</v>
      </c>
      <c r="CG79" t="e">
        <f>AND(#REF!,"AAAAAFZnXlQ=")</f>
        <v>#REF!</v>
      </c>
      <c r="CH79" t="e">
        <f>AND(#REF!,"AAAAAFZnXlU=")</f>
        <v>#REF!</v>
      </c>
      <c r="CI79" t="e">
        <f>AND(#REF!,"AAAAAFZnXlY=")</f>
        <v>#REF!</v>
      </c>
      <c r="CJ79" t="e">
        <f>AND(#REF!,"AAAAAFZnXlc=")</f>
        <v>#REF!</v>
      </c>
      <c r="CK79" t="e">
        <f>AND(#REF!,"AAAAAFZnXlg=")</f>
        <v>#REF!</v>
      </c>
      <c r="CL79" t="e">
        <f>AND(#REF!,"AAAAAFZnXlk=")</f>
        <v>#REF!</v>
      </c>
      <c r="CM79" t="e">
        <f>AND(#REF!,"AAAAAFZnXlo=")</f>
        <v>#REF!</v>
      </c>
      <c r="CN79" t="e">
        <f>AND(#REF!,"AAAAAFZnXls=")</f>
        <v>#REF!</v>
      </c>
      <c r="CO79" t="e">
        <f>AND(#REF!,"AAAAAFZnXlw=")</f>
        <v>#REF!</v>
      </c>
      <c r="CP79" t="e">
        <f>AND(#REF!,"AAAAAFZnXl0=")</f>
        <v>#REF!</v>
      </c>
      <c r="CQ79" t="e">
        <f>AND(#REF!,"AAAAAFZnXl4=")</f>
        <v>#REF!</v>
      </c>
      <c r="CR79" t="e">
        <f>AND(#REF!,"AAAAAFZnXl8=")</f>
        <v>#REF!</v>
      </c>
      <c r="CS79" t="e">
        <f>AND(#REF!,"AAAAAFZnXmA=")</f>
        <v>#REF!</v>
      </c>
      <c r="CT79" t="e">
        <f>AND(#REF!,"AAAAAFZnXmE=")</f>
        <v>#REF!</v>
      </c>
      <c r="CU79" t="e">
        <f>AND(#REF!,"AAAAAFZnXmI=")</f>
        <v>#REF!</v>
      </c>
      <c r="CV79" t="e">
        <f>AND(#REF!,"AAAAAFZnXmM=")</f>
        <v>#REF!</v>
      </c>
      <c r="CW79" t="e">
        <f>AND(#REF!,"AAAAAFZnXmQ=")</f>
        <v>#REF!</v>
      </c>
      <c r="CX79" t="e">
        <f>AND(#REF!,"AAAAAFZnXmU=")</f>
        <v>#REF!</v>
      </c>
      <c r="CY79" t="e">
        <f>AND(#REF!,"AAAAAFZnXmY=")</f>
        <v>#REF!</v>
      </c>
      <c r="CZ79" t="e">
        <f>AND(#REF!,"AAAAAFZnXmc=")</f>
        <v>#REF!</v>
      </c>
      <c r="DA79" t="e">
        <f>AND(#REF!,"AAAAAFZnXmg=")</f>
        <v>#REF!</v>
      </c>
      <c r="DB79" t="e">
        <f>AND(#REF!,"AAAAAFZnXmk=")</f>
        <v>#REF!</v>
      </c>
      <c r="DC79" t="e">
        <f>IF(#REF!,"AAAAAFZnXmo=",0)</f>
        <v>#REF!</v>
      </c>
      <c r="DD79" t="e">
        <f>AND(#REF!,"AAAAAFZnXms=")</f>
        <v>#REF!</v>
      </c>
      <c r="DE79" t="e">
        <f>AND(#REF!,"AAAAAFZnXmw=")</f>
        <v>#REF!</v>
      </c>
      <c r="DF79" t="e">
        <f>AND(#REF!,"AAAAAFZnXm0=")</f>
        <v>#REF!</v>
      </c>
      <c r="DG79" t="e">
        <f>AND(#REF!,"AAAAAFZnXm4=")</f>
        <v>#REF!</v>
      </c>
      <c r="DH79" t="e">
        <f>AND(#REF!,"AAAAAFZnXm8=")</f>
        <v>#REF!</v>
      </c>
      <c r="DI79" t="e">
        <f>AND(#REF!,"AAAAAFZnXnA=")</f>
        <v>#REF!</v>
      </c>
      <c r="DJ79" t="e">
        <f>AND(#REF!,"AAAAAFZnXnE=")</f>
        <v>#REF!</v>
      </c>
      <c r="DK79" t="e">
        <f>AND(#REF!,"AAAAAFZnXnI=")</f>
        <v>#REF!</v>
      </c>
      <c r="DL79" t="e">
        <f>AND(#REF!,"AAAAAFZnXnM=")</f>
        <v>#REF!</v>
      </c>
      <c r="DM79" t="e">
        <f>AND(#REF!,"AAAAAFZnXnQ=")</f>
        <v>#REF!</v>
      </c>
      <c r="DN79" t="e">
        <f>AND(#REF!,"AAAAAFZnXnU=")</f>
        <v>#REF!</v>
      </c>
      <c r="DO79" t="e">
        <f>AND(#REF!,"AAAAAFZnXnY=")</f>
        <v>#REF!</v>
      </c>
      <c r="DP79" t="e">
        <f>AND(#REF!,"AAAAAFZnXnc=")</f>
        <v>#REF!</v>
      </c>
      <c r="DQ79" t="e">
        <f>AND(#REF!,"AAAAAFZnXng=")</f>
        <v>#REF!</v>
      </c>
      <c r="DR79" t="e">
        <f>AND(#REF!,"AAAAAFZnXnk=")</f>
        <v>#REF!</v>
      </c>
      <c r="DS79" t="e">
        <f>AND(#REF!,"AAAAAFZnXno=")</f>
        <v>#REF!</v>
      </c>
      <c r="DT79" t="e">
        <f>AND(#REF!,"AAAAAFZnXns=")</f>
        <v>#REF!</v>
      </c>
      <c r="DU79" t="e">
        <f>AND(#REF!,"AAAAAFZnXnw=")</f>
        <v>#REF!</v>
      </c>
      <c r="DV79" t="e">
        <f>AND(#REF!,"AAAAAFZnXn0=")</f>
        <v>#REF!</v>
      </c>
      <c r="DW79" t="e">
        <f>AND(#REF!,"AAAAAFZnXn4=")</f>
        <v>#REF!</v>
      </c>
      <c r="DX79" t="e">
        <f>AND(#REF!,"AAAAAFZnXn8=")</f>
        <v>#REF!</v>
      </c>
      <c r="DY79" t="e">
        <f>AND(#REF!,"AAAAAFZnXoA=")</f>
        <v>#REF!</v>
      </c>
      <c r="DZ79" t="e">
        <f>AND(#REF!,"AAAAAFZnXoE=")</f>
        <v>#REF!</v>
      </c>
      <c r="EA79" t="e">
        <f>AND(#REF!,"AAAAAFZnXoI=")</f>
        <v>#REF!</v>
      </c>
      <c r="EB79" t="e">
        <f>AND(#REF!,"AAAAAFZnXoM=")</f>
        <v>#REF!</v>
      </c>
      <c r="EC79" t="e">
        <f>AND(#REF!,"AAAAAFZnXoQ=")</f>
        <v>#REF!</v>
      </c>
      <c r="ED79" t="e">
        <f>IF(#REF!,"AAAAAFZnXoU=",0)</f>
        <v>#REF!</v>
      </c>
      <c r="EE79" t="e">
        <f>AND(#REF!,"AAAAAFZnXoY=")</f>
        <v>#REF!</v>
      </c>
      <c r="EF79" t="e">
        <f>AND(#REF!,"AAAAAFZnXoc=")</f>
        <v>#REF!</v>
      </c>
      <c r="EG79" t="e">
        <f>AND(#REF!,"AAAAAFZnXog=")</f>
        <v>#REF!</v>
      </c>
      <c r="EH79" t="e">
        <f>AND(#REF!,"AAAAAFZnXok=")</f>
        <v>#REF!</v>
      </c>
      <c r="EI79" t="e">
        <f>AND(#REF!,"AAAAAFZnXoo=")</f>
        <v>#REF!</v>
      </c>
      <c r="EJ79" t="e">
        <f>AND(#REF!,"AAAAAFZnXos=")</f>
        <v>#REF!</v>
      </c>
      <c r="EK79" t="e">
        <f>AND(#REF!,"AAAAAFZnXow=")</f>
        <v>#REF!</v>
      </c>
      <c r="EL79" t="e">
        <f>AND(#REF!,"AAAAAFZnXo0=")</f>
        <v>#REF!</v>
      </c>
      <c r="EM79" t="e">
        <f>AND(#REF!,"AAAAAFZnXo4=")</f>
        <v>#REF!</v>
      </c>
      <c r="EN79" t="e">
        <f>AND(#REF!,"AAAAAFZnXo8=")</f>
        <v>#REF!</v>
      </c>
      <c r="EO79" t="e">
        <f>AND(#REF!,"AAAAAFZnXpA=")</f>
        <v>#REF!</v>
      </c>
      <c r="EP79" t="e">
        <f>AND(#REF!,"AAAAAFZnXpE=")</f>
        <v>#REF!</v>
      </c>
      <c r="EQ79" t="e">
        <f>AND(#REF!,"AAAAAFZnXpI=")</f>
        <v>#REF!</v>
      </c>
      <c r="ER79" t="e">
        <f>AND(#REF!,"AAAAAFZnXpM=")</f>
        <v>#REF!</v>
      </c>
      <c r="ES79" t="e">
        <f>AND(#REF!,"AAAAAFZnXpQ=")</f>
        <v>#REF!</v>
      </c>
      <c r="ET79" t="e">
        <f>AND(#REF!,"AAAAAFZnXpU=")</f>
        <v>#REF!</v>
      </c>
      <c r="EU79" t="e">
        <f>AND(#REF!,"AAAAAFZnXpY=")</f>
        <v>#REF!</v>
      </c>
      <c r="EV79" t="e">
        <f>AND(#REF!,"AAAAAFZnXpc=")</f>
        <v>#REF!</v>
      </c>
      <c r="EW79" t="e">
        <f>AND(#REF!,"AAAAAFZnXpg=")</f>
        <v>#REF!</v>
      </c>
      <c r="EX79" t="e">
        <f>AND(#REF!,"AAAAAFZnXpk=")</f>
        <v>#REF!</v>
      </c>
      <c r="EY79" t="e">
        <f>AND(#REF!,"AAAAAFZnXpo=")</f>
        <v>#REF!</v>
      </c>
      <c r="EZ79" t="e">
        <f>AND(#REF!,"AAAAAFZnXps=")</f>
        <v>#REF!</v>
      </c>
      <c r="FA79" t="e">
        <f>AND(#REF!,"AAAAAFZnXpw=")</f>
        <v>#REF!</v>
      </c>
      <c r="FB79" t="e">
        <f>AND(#REF!,"AAAAAFZnXp0=")</f>
        <v>#REF!</v>
      </c>
      <c r="FC79" t="e">
        <f>AND(#REF!,"AAAAAFZnXp4=")</f>
        <v>#REF!</v>
      </c>
      <c r="FD79" t="e">
        <f>AND(#REF!,"AAAAAFZnXp8=")</f>
        <v>#REF!</v>
      </c>
      <c r="FE79" t="e">
        <f>IF(#REF!,"AAAAAFZnXqA=",0)</f>
        <v>#REF!</v>
      </c>
      <c r="FF79" t="e">
        <f>AND(#REF!,"AAAAAFZnXqE=")</f>
        <v>#REF!</v>
      </c>
      <c r="FG79" t="e">
        <f>AND(#REF!,"AAAAAFZnXqI=")</f>
        <v>#REF!</v>
      </c>
      <c r="FH79" t="e">
        <f>AND(#REF!,"AAAAAFZnXqM=")</f>
        <v>#REF!</v>
      </c>
      <c r="FI79" t="e">
        <f>AND(#REF!,"AAAAAFZnXqQ=")</f>
        <v>#REF!</v>
      </c>
      <c r="FJ79" t="e">
        <f>AND(#REF!,"AAAAAFZnXqU=")</f>
        <v>#REF!</v>
      </c>
      <c r="FK79" t="e">
        <f>AND(#REF!,"AAAAAFZnXqY=")</f>
        <v>#REF!</v>
      </c>
      <c r="FL79" t="e">
        <f>AND(#REF!,"AAAAAFZnXqc=")</f>
        <v>#REF!</v>
      </c>
      <c r="FM79" t="e">
        <f>AND(#REF!,"AAAAAFZnXqg=")</f>
        <v>#REF!</v>
      </c>
      <c r="FN79" t="e">
        <f>AND(#REF!,"AAAAAFZnXqk=")</f>
        <v>#REF!</v>
      </c>
      <c r="FO79" t="e">
        <f>AND(#REF!,"AAAAAFZnXqo=")</f>
        <v>#REF!</v>
      </c>
      <c r="FP79" t="e">
        <f>AND(#REF!,"AAAAAFZnXqs=")</f>
        <v>#REF!</v>
      </c>
      <c r="FQ79" t="e">
        <f>AND(#REF!,"AAAAAFZnXqw=")</f>
        <v>#REF!</v>
      </c>
      <c r="FR79" t="e">
        <f>AND(#REF!,"AAAAAFZnXq0=")</f>
        <v>#REF!</v>
      </c>
      <c r="FS79" t="e">
        <f>AND(#REF!,"AAAAAFZnXq4=")</f>
        <v>#REF!</v>
      </c>
      <c r="FT79" t="e">
        <f>AND(#REF!,"AAAAAFZnXq8=")</f>
        <v>#REF!</v>
      </c>
      <c r="FU79" t="e">
        <f>AND(#REF!,"AAAAAFZnXrA=")</f>
        <v>#REF!</v>
      </c>
      <c r="FV79" t="e">
        <f>AND(#REF!,"AAAAAFZnXrE=")</f>
        <v>#REF!</v>
      </c>
      <c r="FW79" t="e">
        <f>AND(#REF!,"AAAAAFZnXrI=")</f>
        <v>#REF!</v>
      </c>
      <c r="FX79" t="e">
        <f>AND(#REF!,"AAAAAFZnXrM=")</f>
        <v>#REF!</v>
      </c>
      <c r="FY79" t="e">
        <f>AND(#REF!,"AAAAAFZnXrQ=")</f>
        <v>#REF!</v>
      </c>
      <c r="FZ79" t="e">
        <f>AND(#REF!,"AAAAAFZnXrU=")</f>
        <v>#REF!</v>
      </c>
      <c r="GA79" t="e">
        <f>AND(#REF!,"AAAAAFZnXrY=")</f>
        <v>#REF!</v>
      </c>
      <c r="GB79" t="e">
        <f>AND(#REF!,"AAAAAFZnXrc=")</f>
        <v>#REF!</v>
      </c>
      <c r="GC79" t="e">
        <f>AND(#REF!,"AAAAAFZnXrg=")</f>
        <v>#REF!</v>
      </c>
      <c r="GD79" t="e">
        <f>AND(#REF!,"AAAAAFZnXrk=")</f>
        <v>#REF!</v>
      </c>
      <c r="GE79" t="e">
        <f>AND(#REF!,"AAAAAFZnXro=")</f>
        <v>#REF!</v>
      </c>
      <c r="GF79" t="e">
        <f>IF(#REF!,"AAAAAFZnXrs=",0)</f>
        <v>#REF!</v>
      </c>
      <c r="GG79" t="e">
        <f>AND(#REF!,"AAAAAFZnXrw=")</f>
        <v>#REF!</v>
      </c>
      <c r="GH79" t="e">
        <f>AND(#REF!,"AAAAAFZnXr0=")</f>
        <v>#REF!</v>
      </c>
      <c r="GI79" t="e">
        <f>AND(#REF!,"AAAAAFZnXr4=")</f>
        <v>#REF!</v>
      </c>
      <c r="GJ79" t="e">
        <f>AND(#REF!,"AAAAAFZnXr8=")</f>
        <v>#REF!</v>
      </c>
      <c r="GK79" t="e">
        <f>AND(#REF!,"AAAAAFZnXsA=")</f>
        <v>#REF!</v>
      </c>
      <c r="GL79" t="e">
        <f>AND(#REF!,"AAAAAFZnXsE=")</f>
        <v>#REF!</v>
      </c>
      <c r="GM79" t="e">
        <f>AND(#REF!,"AAAAAFZnXsI=")</f>
        <v>#REF!</v>
      </c>
      <c r="GN79" t="e">
        <f>AND(#REF!,"AAAAAFZnXsM=")</f>
        <v>#REF!</v>
      </c>
      <c r="GO79" t="e">
        <f>AND(#REF!,"AAAAAFZnXsQ=")</f>
        <v>#REF!</v>
      </c>
      <c r="GP79" t="e">
        <f>AND(#REF!,"AAAAAFZnXsU=")</f>
        <v>#REF!</v>
      </c>
      <c r="GQ79" t="e">
        <f>AND(#REF!,"AAAAAFZnXsY=")</f>
        <v>#REF!</v>
      </c>
      <c r="GR79" t="e">
        <f>AND(#REF!,"AAAAAFZnXsc=")</f>
        <v>#REF!</v>
      </c>
      <c r="GS79" t="e">
        <f>AND(#REF!,"AAAAAFZnXsg=")</f>
        <v>#REF!</v>
      </c>
      <c r="GT79" t="e">
        <f>AND(#REF!,"AAAAAFZnXsk=")</f>
        <v>#REF!</v>
      </c>
      <c r="GU79" t="e">
        <f>AND(#REF!,"AAAAAFZnXso=")</f>
        <v>#REF!</v>
      </c>
      <c r="GV79" t="e">
        <f>AND(#REF!,"AAAAAFZnXss=")</f>
        <v>#REF!</v>
      </c>
      <c r="GW79" t="e">
        <f>AND(#REF!,"AAAAAFZnXsw=")</f>
        <v>#REF!</v>
      </c>
      <c r="GX79" t="e">
        <f>AND(#REF!,"AAAAAFZnXs0=")</f>
        <v>#REF!</v>
      </c>
      <c r="GY79" t="e">
        <f>AND(#REF!,"AAAAAFZnXs4=")</f>
        <v>#REF!</v>
      </c>
      <c r="GZ79" t="e">
        <f>AND(#REF!,"AAAAAFZnXs8=")</f>
        <v>#REF!</v>
      </c>
      <c r="HA79" t="e">
        <f>AND(#REF!,"AAAAAFZnXtA=")</f>
        <v>#REF!</v>
      </c>
      <c r="HB79" t="e">
        <f>AND(#REF!,"AAAAAFZnXtE=")</f>
        <v>#REF!</v>
      </c>
      <c r="HC79" t="e">
        <f>AND(#REF!,"AAAAAFZnXtI=")</f>
        <v>#REF!</v>
      </c>
      <c r="HD79" t="e">
        <f>AND(#REF!,"AAAAAFZnXtM=")</f>
        <v>#REF!</v>
      </c>
      <c r="HE79" t="e">
        <f>AND(#REF!,"AAAAAFZnXtQ=")</f>
        <v>#REF!</v>
      </c>
      <c r="HF79" t="e">
        <f>AND(#REF!,"AAAAAFZnXtU=")</f>
        <v>#REF!</v>
      </c>
      <c r="HG79" t="e">
        <f>IF(#REF!,"AAAAAFZnXtY=",0)</f>
        <v>#REF!</v>
      </c>
      <c r="HH79" t="e">
        <f>AND(#REF!,"AAAAAFZnXtc=")</f>
        <v>#REF!</v>
      </c>
      <c r="HI79" t="e">
        <f>AND(#REF!,"AAAAAFZnXtg=")</f>
        <v>#REF!</v>
      </c>
      <c r="HJ79" t="e">
        <f>AND(#REF!,"AAAAAFZnXtk=")</f>
        <v>#REF!</v>
      </c>
      <c r="HK79" t="e">
        <f>AND(#REF!,"AAAAAFZnXto=")</f>
        <v>#REF!</v>
      </c>
      <c r="HL79" t="e">
        <f>AND(#REF!,"AAAAAFZnXts=")</f>
        <v>#REF!</v>
      </c>
      <c r="HM79" t="e">
        <f>AND(#REF!,"AAAAAFZnXtw=")</f>
        <v>#REF!</v>
      </c>
      <c r="HN79" t="e">
        <f>AND(#REF!,"AAAAAFZnXt0=")</f>
        <v>#REF!</v>
      </c>
      <c r="HO79" t="e">
        <f>AND(#REF!,"AAAAAFZnXt4=")</f>
        <v>#REF!</v>
      </c>
      <c r="HP79" t="e">
        <f>AND(#REF!,"AAAAAFZnXt8=")</f>
        <v>#REF!</v>
      </c>
      <c r="HQ79" t="e">
        <f>AND(#REF!,"AAAAAFZnXuA=")</f>
        <v>#REF!</v>
      </c>
      <c r="HR79" t="e">
        <f>AND(#REF!,"AAAAAFZnXuE=")</f>
        <v>#REF!</v>
      </c>
      <c r="HS79" t="e">
        <f>AND(#REF!,"AAAAAFZnXuI=")</f>
        <v>#REF!</v>
      </c>
      <c r="HT79" t="e">
        <f>AND(#REF!,"AAAAAFZnXuM=")</f>
        <v>#REF!</v>
      </c>
      <c r="HU79" t="e">
        <f>AND(#REF!,"AAAAAFZnXuQ=")</f>
        <v>#REF!</v>
      </c>
      <c r="HV79" t="e">
        <f>AND(#REF!,"AAAAAFZnXuU=")</f>
        <v>#REF!</v>
      </c>
      <c r="HW79" t="e">
        <f>AND(#REF!,"AAAAAFZnXuY=")</f>
        <v>#REF!</v>
      </c>
      <c r="HX79" t="e">
        <f>AND(#REF!,"AAAAAFZnXuc=")</f>
        <v>#REF!</v>
      </c>
      <c r="HY79" t="e">
        <f>AND(#REF!,"AAAAAFZnXug=")</f>
        <v>#REF!</v>
      </c>
      <c r="HZ79" t="e">
        <f>AND(#REF!,"AAAAAFZnXuk=")</f>
        <v>#REF!</v>
      </c>
      <c r="IA79" t="e">
        <f>AND(#REF!,"AAAAAFZnXuo=")</f>
        <v>#REF!</v>
      </c>
      <c r="IB79" t="e">
        <f>AND(#REF!,"AAAAAFZnXus=")</f>
        <v>#REF!</v>
      </c>
      <c r="IC79" t="e">
        <f>AND(#REF!,"AAAAAFZnXuw=")</f>
        <v>#REF!</v>
      </c>
      <c r="ID79" t="e">
        <f>AND(#REF!,"AAAAAFZnXu0=")</f>
        <v>#REF!</v>
      </c>
      <c r="IE79" t="e">
        <f>AND(#REF!,"AAAAAFZnXu4=")</f>
        <v>#REF!</v>
      </c>
      <c r="IF79" t="e">
        <f>AND(#REF!,"AAAAAFZnXu8=")</f>
        <v>#REF!</v>
      </c>
      <c r="IG79" t="e">
        <f>AND(#REF!,"AAAAAFZnXvA=")</f>
        <v>#REF!</v>
      </c>
      <c r="IH79" t="e">
        <f>IF(#REF!,"AAAAAFZnXvE=",0)</f>
        <v>#REF!</v>
      </c>
      <c r="II79" t="e">
        <f>AND(#REF!,"AAAAAFZnXvI=")</f>
        <v>#REF!</v>
      </c>
      <c r="IJ79" t="e">
        <f>AND(#REF!,"AAAAAFZnXvM=")</f>
        <v>#REF!</v>
      </c>
      <c r="IK79" t="e">
        <f>AND(#REF!,"AAAAAFZnXvQ=")</f>
        <v>#REF!</v>
      </c>
      <c r="IL79" t="e">
        <f>AND(#REF!,"AAAAAFZnXvU=")</f>
        <v>#REF!</v>
      </c>
      <c r="IM79" t="e">
        <f>AND(#REF!,"AAAAAFZnXvY=")</f>
        <v>#REF!</v>
      </c>
      <c r="IN79" t="e">
        <f>AND(#REF!,"AAAAAFZnXvc=")</f>
        <v>#REF!</v>
      </c>
      <c r="IO79" t="e">
        <f>AND(#REF!,"AAAAAFZnXvg=")</f>
        <v>#REF!</v>
      </c>
      <c r="IP79" t="e">
        <f>AND(#REF!,"AAAAAFZnXvk=")</f>
        <v>#REF!</v>
      </c>
      <c r="IQ79" t="e">
        <f>AND(#REF!,"AAAAAFZnXvo=")</f>
        <v>#REF!</v>
      </c>
      <c r="IR79" t="e">
        <f>AND(#REF!,"AAAAAFZnXvs=")</f>
        <v>#REF!</v>
      </c>
      <c r="IS79" t="e">
        <f>AND(#REF!,"AAAAAFZnXvw=")</f>
        <v>#REF!</v>
      </c>
      <c r="IT79" t="e">
        <f>AND(#REF!,"AAAAAFZnXv0=")</f>
        <v>#REF!</v>
      </c>
      <c r="IU79" t="e">
        <f>AND(#REF!,"AAAAAFZnXv4=")</f>
        <v>#REF!</v>
      </c>
      <c r="IV79" t="e">
        <f>AND(#REF!,"AAAAAFZnXv8=")</f>
        <v>#REF!</v>
      </c>
    </row>
    <row r="80" spans="1:256" x14ac:dyDescent="0.2">
      <c r="A80" t="e">
        <f>AND(#REF!,"AAAAAGxzrgA=")</f>
        <v>#REF!</v>
      </c>
      <c r="B80" t="e">
        <f>AND(#REF!,"AAAAAGxzrgE=")</f>
        <v>#REF!</v>
      </c>
      <c r="C80" t="e">
        <f>AND(#REF!,"AAAAAGxzrgI=")</f>
        <v>#REF!</v>
      </c>
      <c r="D80" t="e">
        <f>AND(#REF!,"AAAAAGxzrgM=")</f>
        <v>#REF!</v>
      </c>
      <c r="E80" t="e">
        <f>AND(#REF!,"AAAAAGxzrgQ=")</f>
        <v>#REF!</v>
      </c>
      <c r="F80" t="e">
        <f>AND(#REF!,"AAAAAGxzrgU=")</f>
        <v>#REF!</v>
      </c>
      <c r="G80" t="e">
        <f>AND(#REF!,"AAAAAGxzrgY=")</f>
        <v>#REF!</v>
      </c>
      <c r="H80" t="e">
        <f>AND(#REF!,"AAAAAGxzrgc=")</f>
        <v>#REF!</v>
      </c>
      <c r="I80" t="e">
        <f>AND(#REF!,"AAAAAGxzrgg=")</f>
        <v>#REF!</v>
      </c>
      <c r="J80" t="e">
        <f>AND(#REF!,"AAAAAGxzrgk=")</f>
        <v>#REF!</v>
      </c>
      <c r="K80" t="e">
        <f>AND(#REF!,"AAAAAGxzrgo=")</f>
        <v>#REF!</v>
      </c>
      <c r="L80" t="e">
        <f>AND(#REF!,"AAAAAGxzrgs=")</f>
        <v>#REF!</v>
      </c>
      <c r="M80" t="e">
        <f>IF(#REF!,"AAAAAGxzrgw=",0)</f>
        <v>#REF!</v>
      </c>
      <c r="N80" t="e">
        <f>AND(#REF!,"AAAAAGxzrg0=")</f>
        <v>#REF!</v>
      </c>
      <c r="O80" t="e">
        <f>AND(#REF!,"AAAAAGxzrg4=")</f>
        <v>#REF!</v>
      </c>
      <c r="P80" t="e">
        <f>AND(#REF!,"AAAAAGxzrg8=")</f>
        <v>#REF!</v>
      </c>
      <c r="Q80" t="e">
        <f>AND(#REF!,"AAAAAGxzrhA=")</f>
        <v>#REF!</v>
      </c>
      <c r="R80" t="e">
        <f>AND(#REF!,"AAAAAGxzrhE=")</f>
        <v>#REF!</v>
      </c>
      <c r="S80" t="e">
        <f>AND(#REF!,"AAAAAGxzrhI=")</f>
        <v>#REF!</v>
      </c>
      <c r="T80" t="e">
        <f>AND(#REF!,"AAAAAGxzrhM=")</f>
        <v>#REF!</v>
      </c>
      <c r="U80" t="e">
        <f>AND(#REF!,"AAAAAGxzrhQ=")</f>
        <v>#REF!</v>
      </c>
      <c r="V80" t="e">
        <f>AND(#REF!,"AAAAAGxzrhU=")</f>
        <v>#REF!</v>
      </c>
      <c r="W80" t="e">
        <f>AND(#REF!,"AAAAAGxzrhY=")</f>
        <v>#REF!</v>
      </c>
      <c r="X80" t="e">
        <f>AND(#REF!,"AAAAAGxzrhc=")</f>
        <v>#REF!</v>
      </c>
      <c r="Y80" t="e">
        <f>AND(#REF!,"AAAAAGxzrhg=")</f>
        <v>#REF!</v>
      </c>
      <c r="Z80" t="e">
        <f>AND(#REF!,"AAAAAGxzrhk=")</f>
        <v>#REF!</v>
      </c>
      <c r="AA80" t="e">
        <f>AND(#REF!,"AAAAAGxzrho=")</f>
        <v>#REF!</v>
      </c>
      <c r="AB80" t="e">
        <f>AND(#REF!,"AAAAAGxzrhs=")</f>
        <v>#REF!</v>
      </c>
      <c r="AC80" t="e">
        <f>AND(#REF!,"AAAAAGxzrhw=")</f>
        <v>#REF!</v>
      </c>
      <c r="AD80" t="e">
        <f>AND(#REF!,"AAAAAGxzrh0=")</f>
        <v>#REF!</v>
      </c>
      <c r="AE80" t="e">
        <f>AND(#REF!,"AAAAAGxzrh4=")</f>
        <v>#REF!</v>
      </c>
      <c r="AF80" t="e">
        <f>AND(#REF!,"AAAAAGxzrh8=")</f>
        <v>#REF!</v>
      </c>
      <c r="AG80" t="e">
        <f>AND(#REF!,"AAAAAGxzriA=")</f>
        <v>#REF!</v>
      </c>
      <c r="AH80" t="e">
        <f>AND(#REF!,"AAAAAGxzriE=")</f>
        <v>#REF!</v>
      </c>
      <c r="AI80" t="e">
        <f>AND(#REF!,"AAAAAGxzriI=")</f>
        <v>#REF!</v>
      </c>
      <c r="AJ80" t="e">
        <f>AND(#REF!,"AAAAAGxzriM=")</f>
        <v>#REF!</v>
      </c>
      <c r="AK80" t="e">
        <f>AND(#REF!,"AAAAAGxzriQ=")</f>
        <v>#REF!</v>
      </c>
      <c r="AL80" t="e">
        <f>AND(#REF!,"AAAAAGxzriU=")</f>
        <v>#REF!</v>
      </c>
      <c r="AM80" t="e">
        <f>AND(#REF!,"AAAAAGxzriY=")</f>
        <v>#REF!</v>
      </c>
      <c r="AN80" t="e">
        <f>IF(#REF!,"AAAAAGxzric=",0)</f>
        <v>#REF!</v>
      </c>
      <c r="AO80" t="e">
        <f>AND(#REF!,"AAAAAGxzrig=")</f>
        <v>#REF!</v>
      </c>
      <c r="AP80" t="e">
        <f>AND(#REF!,"AAAAAGxzrik=")</f>
        <v>#REF!</v>
      </c>
      <c r="AQ80" t="e">
        <f>AND(#REF!,"AAAAAGxzrio=")</f>
        <v>#REF!</v>
      </c>
      <c r="AR80" t="e">
        <f>AND(#REF!,"AAAAAGxzris=")</f>
        <v>#REF!</v>
      </c>
      <c r="AS80" t="e">
        <f>AND(#REF!,"AAAAAGxzriw=")</f>
        <v>#REF!</v>
      </c>
      <c r="AT80" t="e">
        <f>AND(#REF!,"AAAAAGxzri0=")</f>
        <v>#REF!</v>
      </c>
      <c r="AU80" t="e">
        <f>AND(#REF!,"AAAAAGxzri4=")</f>
        <v>#REF!</v>
      </c>
      <c r="AV80" t="e">
        <f>AND(#REF!,"AAAAAGxzri8=")</f>
        <v>#REF!</v>
      </c>
      <c r="AW80" t="e">
        <f>AND(#REF!,"AAAAAGxzrjA=")</f>
        <v>#REF!</v>
      </c>
      <c r="AX80" t="e">
        <f>AND(#REF!,"AAAAAGxzrjE=")</f>
        <v>#REF!</v>
      </c>
      <c r="AY80" t="e">
        <f>AND(#REF!,"AAAAAGxzrjI=")</f>
        <v>#REF!</v>
      </c>
      <c r="AZ80" t="e">
        <f>AND(#REF!,"AAAAAGxzrjM=")</f>
        <v>#REF!</v>
      </c>
      <c r="BA80" t="e">
        <f>AND(#REF!,"AAAAAGxzrjQ=")</f>
        <v>#REF!</v>
      </c>
      <c r="BB80" t="e">
        <f>AND(#REF!,"AAAAAGxzrjU=")</f>
        <v>#REF!</v>
      </c>
      <c r="BC80" t="e">
        <f>AND(#REF!,"AAAAAGxzrjY=")</f>
        <v>#REF!</v>
      </c>
      <c r="BD80" t="e">
        <f>AND(#REF!,"AAAAAGxzrjc=")</f>
        <v>#REF!</v>
      </c>
      <c r="BE80" t="e">
        <f>AND(#REF!,"AAAAAGxzrjg=")</f>
        <v>#REF!</v>
      </c>
      <c r="BF80" t="e">
        <f>AND(#REF!,"AAAAAGxzrjk=")</f>
        <v>#REF!</v>
      </c>
      <c r="BG80" t="e">
        <f>AND(#REF!,"AAAAAGxzrjo=")</f>
        <v>#REF!</v>
      </c>
      <c r="BH80" t="e">
        <f>AND(#REF!,"AAAAAGxzrjs=")</f>
        <v>#REF!</v>
      </c>
      <c r="BI80" t="e">
        <f>AND(#REF!,"AAAAAGxzrjw=")</f>
        <v>#REF!</v>
      </c>
      <c r="BJ80" t="e">
        <f>AND(#REF!,"AAAAAGxzrj0=")</f>
        <v>#REF!</v>
      </c>
      <c r="BK80" t="e">
        <f>AND(#REF!,"AAAAAGxzrj4=")</f>
        <v>#REF!</v>
      </c>
      <c r="BL80" t="e">
        <f>AND(#REF!,"AAAAAGxzrj8=")</f>
        <v>#REF!</v>
      </c>
      <c r="BM80" t="e">
        <f>AND(#REF!,"AAAAAGxzrkA=")</f>
        <v>#REF!</v>
      </c>
      <c r="BN80" t="e">
        <f>AND(#REF!,"AAAAAGxzrkE=")</f>
        <v>#REF!</v>
      </c>
      <c r="BO80" t="e">
        <f>IF(#REF!,"AAAAAGxzrkI=",0)</f>
        <v>#REF!</v>
      </c>
      <c r="BP80" t="e">
        <f>AND(#REF!,"AAAAAGxzrkM=")</f>
        <v>#REF!</v>
      </c>
      <c r="BQ80" t="e">
        <f>AND(#REF!,"AAAAAGxzrkQ=")</f>
        <v>#REF!</v>
      </c>
      <c r="BR80" t="e">
        <f>AND(#REF!,"AAAAAGxzrkU=")</f>
        <v>#REF!</v>
      </c>
      <c r="BS80" t="e">
        <f>AND(#REF!,"AAAAAGxzrkY=")</f>
        <v>#REF!</v>
      </c>
      <c r="BT80" t="e">
        <f>AND(#REF!,"AAAAAGxzrkc=")</f>
        <v>#REF!</v>
      </c>
      <c r="BU80" t="e">
        <f>AND(#REF!,"AAAAAGxzrkg=")</f>
        <v>#REF!</v>
      </c>
      <c r="BV80" t="e">
        <f>AND(#REF!,"AAAAAGxzrkk=")</f>
        <v>#REF!</v>
      </c>
      <c r="BW80" t="e">
        <f>AND(#REF!,"AAAAAGxzrko=")</f>
        <v>#REF!</v>
      </c>
      <c r="BX80" t="e">
        <f>AND(#REF!,"AAAAAGxzrks=")</f>
        <v>#REF!</v>
      </c>
      <c r="BY80" t="e">
        <f>AND(#REF!,"AAAAAGxzrkw=")</f>
        <v>#REF!</v>
      </c>
      <c r="BZ80" t="e">
        <f>AND(#REF!,"AAAAAGxzrk0=")</f>
        <v>#REF!</v>
      </c>
      <c r="CA80" t="e">
        <f>AND(#REF!,"AAAAAGxzrk4=")</f>
        <v>#REF!</v>
      </c>
      <c r="CB80" t="e">
        <f>AND(#REF!,"AAAAAGxzrk8=")</f>
        <v>#REF!</v>
      </c>
      <c r="CC80" t="e">
        <f>AND(#REF!,"AAAAAGxzrlA=")</f>
        <v>#REF!</v>
      </c>
      <c r="CD80" t="e">
        <f>AND(#REF!,"AAAAAGxzrlE=")</f>
        <v>#REF!</v>
      </c>
      <c r="CE80" t="e">
        <f>AND(#REF!,"AAAAAGxzrlI=")</f>
        <v>#REF!</v>
      </c>
      <c r="CF80" t="e">
        <f>AND(#REF!,"AAAAAGxzrlM=")</f>
        <v>#REF!</v>
      </c>
      <c r="CG80" t="e">
        <f>AND(#REF!,"AAAAAGxzrlQ=")</f>
        <v>#REF!</v>
      </c>
      <c r="CH80" t="e">
        <f>AND(#REF!,"AAAAAGxzrlU=")</f>
        <v>#REF!</v>
      </c>
      <c r="CI80" t="e">
        <f>AND(#REF!,"AAAAAGxzrlY=")</f>
        <v>#REF!</v>
      </c>
      <c r="CJ80" t="e">
        <f>AND(#REF!,"AAAAAGxzrlc=")</f>
        <v>#REF!</v>
      </c>
      <c r="CK80" t="e">
        <f>AND(#REF!,"AAAAAGxzrlg=")</f>
        <v>#REF!</v>
      </c>
      <c r="CL80" t="e">
        <f>AND(#REF!,"AAAAAGxzrlk=")</f>
        <v>#REF!</v>
      </c>
      <c r="CM80" t="e">
        <f>AND(#REF!,"AAAAAGxzrlo=")</f>
        <v>#REF!</v>
      </c>
      <c r="CN80" t="e">
        <f>AND(#REF!,"AAAAAGxzrls=")</f>
        <v>#REF!</v>
      </c>
      <c r="CO80" t="e">
        <f>AND(#REF!,"AAAAAGxzrlw=")</f>
        <v>#REF!</v>
      </c>
      <c r="CP80" t="e">
        <f>IF(#REF!,"AAAAAGxzrl0=",0)</f>
        <v>#REF!</v>
      </c>
      <c r="CQ80" t="e">
        <f>AND(#REF!,"AAAAAGxzrl4=")</f>
        <v>#REF!</v>
      </c>
      <c r="CR80" t="e">
        <f>AND(#REF!,"AAAAAGxzrl8=")</f>
        <v>#REF!</v>
      </c>
      <c r="CS80" t="e">
        <f>AND(#REF!,"AAAAAGxzrmA=")</f>
        <v>#REF!</v>
      </c>
      <c r="CT80" t="e">
        <f>AND(#REF!,"AAAAAGxzrmE=")</f>
        <v>#REF!</v>
      </c>
      <c r="CU80" t="e">
        <f>AND(#REF!,"AAAAAGxzrmI=")</f>
        <v>#REF!</v>
      </c>
      <c r="CV80" t="e">
        <f>AND(#REF!,"AAAAAGxzrmM=")</f>
        <v>#REF!</v>
      </c>
      <c r="CW80" t="e">
        <f>AND(#REF!,"AAAAAGxzrmQ=")</f>
        <v>#REF!</v>
      </c>
      <c r="CX80" t="e">
        <f>AND(#REF!,"AAAAAGxzrmU=")</f>
        <v>#REF!</v>
      </c>
      <c r="CY80" t="e">
        <f>AND(#REF!,"AAAAAGxzrmY=")</f>
        <v>#REF!</v>
      </c>
      <c r="CZ80" t="e">
        <f>AND(#REF!,"AAAAAGxzrmc=")</f>
        <v>#REF!</v>
      </c>
      <c r="DA80" t="e">
        <f>AND(#REF!,"AAAAAGxzrmg=")</f>
        <v>#REF!</v>
      </c>
      <c r="DB80" t="e">
        <f>AND(#REF!,"AAAAAGxzrmk=")</f>
        <v>#REF!</v>
      </c>
      <c r="DC80" t="e">
        <f>AND(#REF!,"AAAAAGxzrmo=")</f>
        <v>#REF!</v>
      </c>
      <c r="DD80" t="e">
        <f>AND(#REF!,"AAAAAGxzrms=")</f>
        <v>#REF!</v>
      </c>
      <c r="DE80" t="e">
        <f>AND(#REF!,"AAAAAGxzrmw=")</f>
        <v>#REF!</v>
      </c>
      <c r="DF80" t="e">
        <f>AND(#REF!,"AAAAAGxzrm0=")</f>
        <v>#REF!</v>
      </c>
      <c r="DG80" t="e">
        <f>AND(#REF!,"AAAAAGxzrm4=")</f>
        <v>#REF!</v>
      </c>
      <c r="DH80" t="e">
        <f>AND(#REF!,"AAAAAGxzrm8=")</f>
        <v>#REF!</v>
      </c>
      <c r="DI80" t="e">
        <f>AND(#REF!,"AAAAAGxzrnA=")</f>
        <v>#REF!</v>
      </c>
      <c r="DJ80" t="e">
        <f>AND(#REF!,"AAAAAGxzrnE=")</f>
        <v>#REF!</v>
      </c>
      <c r="DK80" t="e">
        <f>AND(#REF!,"AAAAAGxzrnI=")</f>
        <v>#REF!</v>
      </c>
      <c r="DL80" t="e">
        <f>AND(#REF!,"AAAAAGxzrnM=")</f>
        <v>#REF!</v>
      </c>
      <c r="DM80" t="e">
        <f>AND(#REF!,"AAAAAGxzrnQ=")</f>
        <v>#REF!</v>
      </c>
      <c r="DN80" t="e">
        <f>AND(#REF!,"AAAAAGxzrnU=")</f>
        <v>#REF!</v>
      </c>
      <c r="DO80" t="e">
        <f>AND(#REF!,"AAAAAGxzrnY=")</f>
        <v>#REF!</v>
      </c>
      <c r="DP80" t="e">
        <f>AND(#REF!,"AAAAAGxzrnc=")</f>
        <v>#REF!</v>
      </c>
      <c r="DQ80" t="e">
        <f>IF(#REF!,"AAAAAGxzrng=",0)</f>
        <v>#REF!</v>
      </c>
      <c r="DR80" t="e">
        <f>AND(#REF!,"AAAAAGxzrnk=")</f>
        <v>#REF!</v>
      </c>
      <c r="DS80" t="e">
        <f>AND(#REF!,"AAAAAGxzrno=")</f>
        <v>#REF!</v>
      </c>
      <c r="DT80" t="e">
        <f>AND(#REF!,"AAAAAGxzrns=")</f>
        <v>#REF!</v>
      </c>
      <c r="DU80" t="e">
        <f>AND(#REF!,"AAAAAGxzrnw=")</f>
        <v>#REF!</v>
      </c>
      <c r="DV80" t="e">
        <f>AND(#REF!,"AAAAAGxzrn0=")</f>
        <v>#REF!</v>
      </c>
      <c r="DW80" t="e">
        <f>AND(#REF!,"AAAAAGxzrn4=")</f>
        <v>#REF!</v>
      </c>
      <c r="DX80" t="e">
        <f>AND(#REF!,"AAAAAGxzrn8=")</f>
        <v>#REF!</v>
      </c>
      <c r="DY80" t="e">
        <f>AND(#REF!,"AAAAAGxzroA=")</f>
        <v>#REF!</v>
      </c>
      <c r="DZ80" t="e">
        <f>AND(#REF!,"AAAAAGxzroE=")</f>
        <v>#REF!</v>
      </c>
      <c r="EA80" t="e">
        <f>AND(#REF!,"AAAAAGxzroI=")</f>
        <v>#REF!</v>
      </c>
      <c r="EB80" t="e">
        <f>AND(#REF!,"AAAAAGxzroM=")</f>
        <v>#REF!</v>
      </c>
      <c r="EC80" t="e">
        <f>AND(#REF!,"AAAAAGxzroQ=")</f>
        <v>#REF!</v>
      </c>
      <c r="ED80" t="e">
        <f>AND(#REF!,"AAAAAGxzroU=")</f>
        <v>#REF!</v>
      </c>
      <c r="EE80" t="e">
        <f>AND(#REF!,"AAAAAGxzroY=")</f>
        <v>#REF!</v>
      </c>
      <c r="EF80" t="e">
        <f>AND(#REF!,"AAAAAGxzroc=")</f>
        <v>#REF!</v>
      </c>
      <c r="EG80" t="e">
        <f>AND(#REF!,"AAAAAGxzrog=")</f>
        <v>#REF!</v>
      </c>
      <c r="EH80" t="e">
        <f>AND(#REF!,"AAAAAGxzrok=")</f>
        <v>#REF!</v>
      </c>
      <c r="EI80" t="e">
        <f>AND(#REF!,"AAAAAGxzroo=")</f>
        <v>#REF!</v>
      </c>
      <c r="EJ80" t="e">
        <f>AND(#REF!,"AAAAAGxzros=")</f>
        <v>#REF!</v>
      </c>
      <c r="EK80" t="e">
        <f>AND(#REF!,"AAAAAGxzrow=")</f>
        <v>#REF!</v>
      </c>
      <c r="EL80" t="e">
        <f>AND(#REF!,"AAAAAGxzro0=")</f>
        <v>#REF!</v>
      </c>
      <c r="EM80" t="e">
        <f>AND(#REF!,"AAAAAGxzro4=")</f>
        <v>#REF!</v>
      </c>
      <c r="EN80" t="e">
        <f>AND(#REF!,"AAAAAGxzro8=")</f>
        <v>#REF!</v>
      </c>
      <c r="EO80" t="e">
        <f>AND(#REF!,"AAAAAGxzrpA=")</f>
        <v>#REF!</v>
      </c>
      <c r="EP80" t="e">
        <f>AND(#REF!,"AAAAAGxzrpE=")</f>
        <v>#REF!</v>
      </c>
      <c r="EQ80" t="e">
        <f>AND(#REF!,"AAAAAGxzrpI=")</f>
        <v>#REF!</v>
      </c>
      <c r="ER80" t="e">
        <f>IF(#REF!,"AAAAAGxzrpM=",0)</f>
        <v>#REF!</v>
      </c>
      <c r="ES80" t="e">
        <f>AND(#REF!,"AAAAAGxzrpQ=")</f>
        <v>#REF!</v>
      </c>
      <c r="ET80" t="e">
        <f>AND(#REF!,"AAAAAGxzrpU=")</f>
        <v>#REF!</v>
      </c>
      <c r="EU80" t="e">
        <f>AND(#REF!,"AAAAAGxzrpY=")</f>
        <v>#REF!</v>
      </c>
      <c r="EV80" t="e">
        <f>AND(#REF!,"AAAAAGxzrpc=")</f>
        <v>#REF!</v>
      </c>
      <c r="EW80" t="e">
        <f>AND(#REF!,"AAAAAGxzrpg=")</f>
        <v>#REF!</v>
      </c>
      <c r="EX80" t="e">
        <f>AND(#REF!,"AAAAAGxzrpk=")</f>
        <v>#REF!</v>
      </c>
      <c r="EY80" t="e">
        <f>AND(#REF!,"AAAAAGxzrpo=")</f>
        <v>#REF!</v>
      </c>
      <c r="EZ80" t="e">
        <f>AND(#REF!,"AAAAAGxzrps=")</f>
        <v>#REF!</v>
      </c>
      <c r="FA80" t="e">
        <f>AND(#REF!,"AAAAAGxzrpw=")</f>
        <v>#REF!</v>
      </c>
      <c r="FB80" t="e">
        <f>AND(#REF!,"AAAAAGxzrp0=")</f>
        <v>#REF!</v>
      </c>
      <c r="FC80" t="e">
        <f>AND(#REF!,"AAAAAGxzrp4=")</f>
        <v>#REF!</v>
      </c>
      <c r="FD80" t="e">
        <f>AND(#REF!,"AAAAAGxzrp8=")</f>
        <v>#REF!</v>
      </c>
      <c r="FE80" t="e">
        <f>AND(#REF!,"AAAAAGxzrqA=")</f>
        <v>#REF!</v>
      </c>
      <c r="FF80" t="e">
        <f>AND(#REF!,"AAAAAGxzrqE=")</f>
        <v>#REF!</v>
      </c>
      <c r="FG80" t="e">
        <f>AND(#REF!,"AAAAAGxzrqI=")</f>
        <v>#REF!</v>
      </c>
      <c r="FH80" t="e">
        <f>AND(#REF!,"AAAAAGxzrqM=")</f>
        <v>#REF!</v>
      </c>
      <c r="FI80" t="e">
        <f>AND(#REF!,"AAAAAGxzrqQ=")</f>
        <v>#REF!</v>
      </c>
      <c r="FJ80" t="e">
        <f>AND(#REF!,"AAAAAGxzrqU=")</f>
        <v>#REF!</v>
      </c>
      <c r="FK80" t="e">
        <f>AND(#REF!,"AAAAAGxzrqY=")</f>
        <v>#REF!</v>
      </c>
      <c r="FL80" t="e">
        <f>AND(#REF!,"AAAAAGxzrqc=")</f>
        <v>#REF!</v>
      </c>
      <c r="FM80" t="e">
        <f>AND(#REF!,"AAAAAGxzrqg=")</f>
        <v>#REF!</v>
      </c>
      <c r="FN80" t="e">
        <f>AND(#REF!,"AAAAAGxzrqk=")</f>
        <v>#REF!</v>
      </c>
      <c r="FO80" t="e">
        <f>AND(#REF!,"AAAAAGxzrqo=")</f>
        <v>#REF!</v>
      </c>
      <c r="FP80" t="e">
        <f>AND(#REF!,"AAAAAGxzrqs=")</f>
        <v>#REF!</v>
      </c>
      <c r="FQ80" t="e">
        <f>AND(#REF!,"AAAAAGxzrqw=")</f>
        <v>#REF!</v>
      </c>
      <c r="FR80" t="e">
        <f>AND(#REF!,"AAAAAGxzrq0=")</f>
        <v>#REF!</v>
      </c>
      <c r="FS80" t="e">
        <f>IF(#REF!,"AAAAAGxzrq4=",0)</f>
        <v>#REF!</v>
      </c>
      <c r="FT80" t="e">
        <f>AND(#REF!,"AAAAAGxzrq8=")</f>
        <v>#REF!</v>
      </c>
      <c r="FU80" t="e">
        <f>AND(#REF!,"AAAAAGxzrrA=")</f>
        <v>#REF!</v>
      </c>
      <c r="FV80" t="e">
        <f>AND(#REF!,"AAAAAGxzrrE=")</f>
        <v>#REF!</v>
      </c>
      <c r="FW80" t="e">
        <f>AND(#REF!,"AAAAAGxzrrI=")</f>
        <v>#REF!</v>
      </c>
      <c r="FX80" t="e">
        <f>AND(#REF!,"AAAAAGxzrrM=")</f>
        <v>#REF!</v>
      </c>
      <c r="FY80" t="e">
        <f>AND(#REF!,"AAAAAGxzrrQ=")</f>
        <v>#REF!</v>
      </c>
      <c r="FZ80" t="e">
        <f>AND(#REF!,"AAAAAGxzrrU=")</f>
        <v>#REF!</v>
      </c>
      <c r="GA80" t="e">
        <f>AND(#REF!,"AAAAAGxzrrY=")</f>
        <v>#REF!</v>
      </c>
      <c r="GB80" t="e">
        <f>AND(#REF!,"AAAAAGxzrrc=")</f>
        <v>#REF!</v>
      </c>
      <c r="GC80" t="e">
        <f>AND(#REF!,"AAAAAGxzrrg=")</f>
        <v>#REF!</v>
      </c>
      <c r="GD80" t="e">
        <f>AND(#REF!,"AAAAAGxzrrk=")</f>
        <v>#REF!</v>
      </c>
      <c r="GE80" t="e">
        <f>AND(#REF!,"AAAAAGxzrro=")</f>
        <v>#REF!</v>
      </c>
      <c r="GF80" t="e">
        <f>AND(#REF!,"AAAAAGxzrrs=")</f>
        <v>#REF!</v>
      </c>
      <c r="GG80" t="e">
        <f>AND(#REF!,"AAAAAGxzrrw=")</f>
        <v>#REF!</v>
      </c>
      <c r="GH80" t="e">
        <f>AND(#REF!,"AAAAAGxzrr0=")</f>
        <v>#REF!</v>
      </c>
      <c r="GI80" t="e">
        <f>AND(#REF!,"AAAAAGxzrr4=")</f>
        <v>#REF!</v>
      </c>
      <c r="GJ80" t="e">
        <f>AND(#REF!,"AAAAAGxzrr8=")</f>
        <v>#REF!</v>
      </c>
      <c r="GK80" t="e">
        <f>AND(#REF!,"AAAAAGxzrsA=")</f>
        <v>#REF!</v>
      </c>
      <c r="GL80" t="e">
        <f>AND(#REF!,"AAAAAGxzrsE=")</f>
        <v>#REF!</v>
      </c>
      <c r="GM80" t="e">
        <f>AND(#REF!,"AAAAAGxzrsI=")</f>
        <v>#REF!</v>
      </c>
      <c r="GN80" t="e">
        <f>AND(#REF!,"AAAAAGxzrsM=")</f>
        <v>#REF!</v>
      </c>
      <c r="GO80" t="e">
        <f>AND(#REF!,"AAAAAGxzrsQ=")</f>
        <v>#REF!</v>
      </c>
      <c r="GP80" t="e">
        <f>AND(#REF!,"AAAAAGxzrsU=")</f>
        <v>#REF!</v>
      </c>
      <c r="GQ80" t="e">
        <f>AND(#REF!,"AAAAAGxzrsY=")</f>
        <v>#REF!</v>
      </c>
      <c r="GR80" t="e">
        <f>AND(#REF!,"AAAAAGxzrsc=")</f>
        <v>#REF!</v>
      </c>
      <c r="GS80" t="e">
        <f>AND(#REF!,"AAAAAGxzrsg=")</f>
        <v>#REF!</v>
      </c>
      <c r="GT80" t="e">
        <f>IF(#REF!,"AAAAAGxzrsk=",0)</f>
        <v>#REF!</v>
      </c>
      <c r="GU80" t="e">
        <f>AND(#REF!,"AAAAAGxzrso=")</f>
        <v>#REF!</v>
      </c>
      <c r="GV80" t="e">
        <f>AND(#REF!,"AAAAAGxzrss=")</f>
        <v>#REF!</v>
      </c>
      <c r="GW80" t="e">
        <f>AND(#REF!,"AAAAAGxzrsw=")</f>
        <v>#REF!</v>
      </c>
      <c r="GX80" t="e">
        <f>AND(#REF!,"AAAAAGxzrs0=")</f>
        <v>#REF!</v>
      </c>
      <c r="GY80" t="e">
        <f>AND(#REF!,"AAAAAGxzrs4=")</f>
        <v>#REF!</v>
      </c>
      <c r="GZ80" t="e">
        <f>AND(#REF!,"AAAAAGxzrs8=")</f>
        <v>#REF!</v>
      </c>
      <c r="HA80" t="e">
        <f>AND(#REF!,"AAAAAGxzrtA=")</f>
        <v>#REF!</v>
      </c>
      <c r="HB80" t="e">
        <f>AND(#REF!,"AAAAAGxzrtE=")</f>
        <v>#REF!</v>
      </c>
      <c r="HC80" t="e">
        <f>AND(#REF!,"AAAAAGxzrtI=")</f>
        <v>#REF!</v>
      </c>
      <c r="HD80" t="e">
        <f>AND(#REF!,"AAAAAGxzrtM=")</f>
        <v>#REF!</v>
      </c>
      <c r="HE80" t="e">
        <f>AND(#REF!,"AAAAAGxzrtQ=")</f>
        <v>#REF!</v>
      </c>
      <c r="HF80" t="e">
        <f>AND(#REF!,"AAAAAGxzrtU=")</f>
        <v>#REF!</v>
      </c>
      <c r="HG80" t="e">
        <f>AND(#REF!,"AAAAAGxzrtY=")</f>
        <v>#REF!</v>
      </c>
      <c r="HH80" t="e">
        <f>AND(#REF!,"AAAAAGxzrtc=")</f>
        <v>#REF!</v>
      </c>
      <c r="HI80" t="e">
        <f>AND(#REF!,"AAAAAGxzrtg=")</f>
        <v>#REF!</v>
      </c>
      <c r="HJ80" t="e">
        <f>AND(#REF!,"AAAAAGxzrtk=")</f>
        <v>#REF!</v>
      </c>
      <c r="HK80" t="e">
        <f>AND(#REF!,"AAAAAGxzrto=")</f>
        <v>#REF!</v>
      </c>
      <c r="HL80" t="e">
        <f>AND(#REF!,"AAAAAGxzrts=")</f>
        <v>#REF!</v>
      </c>
      <c r="HM80" t="e">
        <f>AND(#REF!,"AAAAAGxzrtw=")</f>
        <v>#REF!</v>
      </c>
      <c r="HN80" t="e">
        <f>AND(#REF!,"AAAAAGxzrt0=")</f>
        <v>#REF!</v>
      </c>
      <c r="HO80" t="e">
        <f>AND(#REF!,"AAAAAGxzrt4=")</f>
        <v>#REF!</v>
      </c>
      <c r="HP80" t="e">
        <f>AND(#REF!,"AAAAAGxzrt8=")</f>
        <v>#REF!</v>
      </c>
      <c r="HQ80" t="e">
        <f>AND(#REF!,"AAAAAGxzruA=")</f>
        <v>#REF!</v>
      </c>
      <c r="HR80" t="e">
        <f>AND(#REF!,"AAAAAGxzruE=")</f>
        <v>#REF!</v>
      </c>
      <c r="HS80" t="e">
        <f>AND(#REF!,"AAAAAGxzruI=")</f>
        <v>#REF!</v>
      </c>
      <c r="HT80" t="e">
        <f>AND(#REF!,"AAAAAGxzruM=")</f>
        <v>#REF!</v>
      </c>
      <c r="HU80" t="e">
        <f>IF(#REF!,"AAAAAGxzruQ=",0)</f>
        <v>#REF!</v>
      </c>
      <c r="HV80" t="e">
        <f>AND(#REF!,"AAAAAGxzruU=")</f>
        <v>#REF!</v>
      </c>
      <c r="HW80" t="e">
        <f>AND(#REF!,"AAAAAGxzruY=")</f>
        <v>#REF!</v>
      </c>
      <c r="HX80" t="e">
        <f>AND(#REF!,"AAAAAGxzruc=")</f>
        <v>#REF!</v>
      </c>
      <c r="HY80" t="e">
        <f>AND(#REF!,"AAAAAGxzrug=")</f>
        <v>#REF!</v>
      </c>
      <c r="HZ80" t="e">
        <f>AND(#REF!,"AAAAAGxzruk=")</f>
        <v>#REF!</v>
      </c>
      <c r="IA80" t="e">
        <f>AND(#REF!,"AAAAAGxzruo=")</f>
        <v>#REF!</v>
      </c>
      <c r="IB80" t="e">
        <f>AND(#REF!,"AAAAAGxzrus=")</f>
        <v>#REF!</v>
      </c>
      <c r="IC80" t="e">
        <f>AND(#REF!,"AAAAAGxzruw=")</f>
        <v>#REF!</v>
      </c>
      <c r="ID80" t="e">
        <f>AND(#REF!,"AAAAAGxzru0=")</f>
        <v>#REF!</v>
      </c>
      <c r="IE80" t="e">
        <f>AND(#REF!,"AAAAAGxzru4=")</f>
        <v>#REF!</v>
      </c>
      <c r="IF80" t="e">
        <f>AND(#REF!,"AAAAAGxzru8=")</f>
        <v>#REF!</v>
      </c>
      <c r="IG80" t="e">
        <f>AND(#REF!,"AAAAAGxzrvA=")</f>
        <v>#REF!</v>
      </c>
      <c r="IH80" t="e">
        <f>AND(#REF!,"AAAAAGxzrvE=")</f>
        <v>#REF!</v>
      </c>
      <c r="II80" t="e">
        <f>AND(#REF!,"AAAAAGxzrvI=")</f>
        <v>#REF!</v>
      </c>
      <c r="IJ80" t="e">
        <f>AND(#REF!,"AAAAAGxzrvM=")</f>
        <v>#REF!</v>
      </c>
      <c r="IK80" t="e">
        <f>AND(#REF!,"AAAAAGxzrvQ=")</f>
        <v>#REF!</v>
      </c>
      <c r="IL80" t="e">
        <f>AND(#REF!,"AAAAAGxzrvU=")</f>
        <v>#REF!</v>
      </c>
      <c r="IM80" t="e">
        <f>AND(#REF!,"AAAAAGxzrvY=")</f>
        <v>#REF!</v>
      </c>
      <c r="IN80" t="e">
        <f>AND(#REF!,"AAAAAGxzrvc=")</f>
        <v>#REF!</v>
      </c>
      <c r="IO80" t="e">
        <f>AND(#REF!,"AAAAAGxzrvg=")</f>
        <v>#REF!</v>
      </c>
      <c r="IP80" t="e">
        <f>AND(#REF!,"AAAAAGxzrvk=")</f>
        <v>#REF!</v>
      </c>
      <c r="IQ80" t="e">
        <f>AND(#REF!,"AAAAAGxzrvo=")</f>
        <v>#REF!</v>
      </c>
      <c r="IR80" t="e">
        <f>AND(#REF!,"AAAAAGxzrvs=")</f>
        <v>#REF!</v>
      </c>
      <c r="IS80" t="e">
        <f>AND(#REF!,"AAAAAGxzrvw=")</f>
        <v>#REF!</v>
      </c>
      <c r="IT80" t="e">
        <f>AND(#REF!,"AAAAAGxzrv0=")</f>
        <v>#REF!</v>
      </c>
      <c r="IU80" t="e">
        <f>AND(#REF!,"AAAAAGxzrv4=")</f>
        <v>#REF!</v>
      </c>
      <c r="IV80" t="e">
        <f>IF(#REF!,"AAAAAGxzrv8=",0)</f>
        <v>#REF!</v>
      </c>
    </row>
    <row r="81" spans="1:256" x14ac:dyDescent="0.2">
      <c r="A81" t="e">
        <f>AND(#REF!,"AAAAAGvptgA=")</f>
        <v>#REF!</v>
      </c>
      <c r="B81" t="e">
        <f>AND(#REF!,"AAAAAGvptgE=")</f>
        <v>#REF!</v>
      </c>
      <c r="C81" t="e">
        <f>AND(#REF!,"AAAAAGvptgI=")</f>
        <v>#REF!</v>
      </c>
      <c r="D81" t="e">
        <f>AND(#REF!,"AAAAAGvptgM=")</f>
        <v>#REF!</v>
      </c>
      <c r="E81" t="e">
        <f>AND(#REF!,"AAAAAGvptgQ=")</f>
        <v>#REF!</v>
      </c>
      <c r="F81" t="e">
        <f>AND(#REF!,"AAAAAGvptgU=")</f>
        <v>#REF!</v>
      </c>
      <c r="G81" t="e">
        <f>AND(#REF!,"AAAAAGvptgY=")</f>
        <v>#REF!</v>
      </c>
      <c r="H81" t="e">
        <f>AND(#REF!,"AAAAAGvptgc=")</f>
        <v>#REF!</v>
      </c>
      <c r="I81" t="e">
        <f>AND(#REF!,"AAAAAGvptgg=")</f>
        <v>#REF!</v>
      </c>
      <c r="J81" t="e">
        <f>AND(#REF!,"AAAAAGvptgk=")</f>
        <v>#REF!</v>
      </c>
      <c r="K81" t="e">
        <f>AND(#REF!,"AAAAAGvptgo=")</f>
        <v>#REF!</v>
      </c>
      <c r="L81" t="e">
        <f>AND(#REF!,"AAAAAGvptgs=")</f>
        <v>#REF!</v>
      </c>
      <c r="M81" t="e">
        <f>AND(#REF!,"AAAAAGvptgw=")</f>
        <v>#REF!</v>
      </c>
      <c r="N81" t="e">
        <f>AND(#REF!,"AAAAAGvptg0=")</f>
        <v>#REF!</v>
      </c>
      <c r="O81" t="e">
        <f>AND(#REF!,"AAAAAGvptg4=")</f>
        <v>#REF!</v>
      </c>
      <c r="P81" t="e">
        <f>AND(#REF!,"AAAAAGvptg8=")</f>
        <v>#REF!</v>
      </c>
      <c r="Q81" t="e">
        <f>AND(#REF!,"AAAAAGvpthA=")</f>
        <v>#REF!</v>
      </c>
      <c r="R81" t="e">
        <f>AND(#REF!,"AAAAAGvpthE=")</f>
        <v>#REF!</v>
      </c>
      <c r="S81" t="e">
        <f>AND(#REF!,"AAAAAGvpthI=")</f>
        <v>#REF!</v>
      </c>
      <c r="T81" t="e">
        <f>AND(#REF!,"AAAAAGvpthM=")</f>
        <v>#REF!</v>
      </c>
      <c r="U81" t="e">
        <f>AND(#REF!,"AAAAAGvpthQ=")</f>
        <v>#REF!</v>
      </c>
      <c r="V81" t="e">
        <f>AND(#REF!,"AAAAAGvpthU=")</f>
        <v>#REF!</v>
      </c>
      <c r="W81" t="e">
        <f>AND(#REF!,"AAAAAGvpthY=")</f>
        <v>#REF!</v>
      </c>
      <c r="X81" t="e">
        <f>AND(#REF!,"AAAAAGvpthc=")</f>
        <v>#REF!</v>
      </c>
      <c r="Y81" t="e">
        <f>AND(#REF!,"AAAAAGvpthg=")</f>
        <v>#REF!</v>
      </c>
      <c r="Z81" t="e">
        <f>AND(#REF!,"AAAAAGvpthk=")</f>
        <v>#REF!</v>
      </c>
      <c r="AA81" t="e">
        <f>IF(#REF!,"AAAAAGvptho=",0)</f>
        <v>#REF!</v>
      </c>
      <c r="AB81" t="e">
        <f>AND(#REF!,"AAAAAGvpths=")</f>
        <v>#REF!</v>
      </c>
      <c r="AC81" t="e">
        <f>AND(#REF!,"AAAAAGvpthw=")</f>
        <v>#REF!</v>
      </c>
      <c r="AD81" t="e">
        <f>AND(#REF!,"AAAAAGvpth0=")</f>
        <v>#REF!</v>
      </c>
      <c r="AE81" t="e">
        <f>AND(#REF!,"AAAAAGvpth4=")</f>
        <v>#REF!</v>
      </c>
      <c r="AF81" t="e">
        <f>AND(#REF!,"AAAAAGvpth8=")</f>
        <v>#REF!</v>
      </c>
      <c r="AG81" t="e">
        <f>AND(#REF!,"AAAAAGvptiA=")</f>
        <v>#REF!</v>
      </c>
      <c r="AH81" t="e">
        <f>AND(#REF!,"AAAAAGvptiE=")</f>
        <v>#REF!</v>
      </c>
      <c r="AI81" t="e">
        <f>AND(#REF!,"AAAAAGvptiI=")</f>
        <v>#REF!</v>
      </c>
      <c r="AJ81" t="e">
        <f>AND(#REF!,"AAAAAGvptiM=")</f>
        <v>#REF!</v>
      </c>
      <c r="AK81" t="e">
        <f>AND(#REF!,"AAAAAGvptiQ=")</f>
        <v>#REF!</v>
      </c>
      <c r="AL81" t="e">
        <f>AND(#REF!,"AAAAAGvptiU=")</f>
        <v>#REF!</v>
      </c>
      <c r="AM81" t="e">
        <f>AND(#REF!,"AAAAAGvptiY=")</f>
        <v>#REF!</v>
      </c>
      <c r="AN81" t="e">
        <f>AND(#REF!,"AAAAAGvptic=")</f>
        <v>#REF!</v>
      </c>
      <c r="AO81" t="e">
        <f>AND(#REF!,"AAAAAGvptig=")</f>
        <v>#REF!</v>
      </c>
      <c r="AP81" t="e">
        <f>AND(#REF!,"AAAAAGvptik=")</f>
        <v>#REF!</v>
      </c>
      <c r="AQ81" t="e">
        <f>AND(#REF!,"AAAAAGvptio=")</f>
        <v>#REF!</v>
      </c>
      <c r="AR81" t="e">
        <f>AND(#REF!,"AAAAAGvptis=")</f>
        <v>#REF!</v>
      </c>
      <c r="AS81" t="e">
        <f>AND(#REF!,"AAAAAGvptiw=")</f>
        <v>#REF!</v>
      </c>
      <c r="AT81" t="e">
        <f>AND(#REF!,"AAAAAGvpti0=")</f>
        <v>#REF!</v>
      </c>
      <c r="AU81" t="e">
        <f>AND(#REF!,"AAAAAGvpti4=")</f>
        <v>#REF!</v>
      </c>
      <c r="AV81" t="e">
        <f>AND(#REF!,"AAAAAGvpti8=")</f>
        <v>#REF!</v>
      </c>
      <c r="AW81" t="e">
        <f>AND(#REF!,"AAAAAGvptjA=")</f>
        <v>#REF!</v>
      </c>
      <c r="AX81" t="e">
        <f>AND(#REF!,"AAAAAGvptjE=")</f>
        <v>#REF!</v>
      </c>
      <c r="AY81" t="e">
        <f>AND(#REF!,"AAAAAGvptjI=")</f>
        <v>#REF!</v>
      </c>
      <c r="AZ81" t="e">
        <f>AND(#REF!,"AAAAAGvptjM=")</f>
        <v>#REF!</v>
      </c>
      <c r="BA81" t="e">
        <f>AND(#REF!,"AAAAAGvptjQ=")</f>
        <v>#REF!</v>
      </c>
      <c r="BB81" t="e">
        <f>IF(#REF!,"AAAAAGvptjU=",0)</f>
        <v>#REF!</v>
      </c>
      <c r="BC81" t="e">
        <f>AND(#REF!,"AAAAAGvptjY=")</f>
        <v>#REF!</v>
      </c>
      <c r="BD81" t="e">
        <f>AND(#REF!,"AAAAAGvptjc=")</f>
        <v>#REF!</v>
      </c>
      <c r="BE81" t="e">
        <f>AND(#REF!,"AAAAAGvptjg=")</f>
        <v>#REF!</v>
      </c>
      <c r="BF81" t="e">
        <f>AND(#REF!,"AAAAAGvptjk=")</f>
        <v>#REF!</v>
      </c>
      <c r="BG81" t="e">
        <f>AND(#REF!,"AAAAAGvptjo=")</f>
        <v>#REF!</v>
      </c>
      <c r="BH81" t="e">
        <f>AND(#REF!,"AAAAAGvptjs=")</f>
        <v>#REF!</v>
      </c>
      <c r="BI81" t="e">
        <f>AND(#REF!,"AAAAAGvptjw=")</f>
        <v>#REF!</v>
      </c>
      <c r="BJ81" t="e">
        <f>AND(#REF!,"AAAAAGvptj0=")</f>
        <v>#REF!</v>
      </c>
      <c r="BK81" t="e">
        <f>AND(#REF!,"AAAAAGvptj4=")</f>
        <v>#REF!</v>
      </c>
      <c r="BL81" t="e">
        <f>AND(#REF!,"AAAAAGvptj8=")</f>
        <v>#REF!</v>
      </c>
      <c r="BM81" t="e">
        <f>AND(#REF!,"AAAAAGvptkA=")</f>
        <v>#REF!</v>
      </c>
      <c r="BN81" t="e">
        <f>AND(#REF!,"AAAAAGvptkE=")</f>
        <v>#REF!</v>
      </c>
      <c r="BO81" t="e">
        <f>AND(#REF!,"AAAAAGvptkI=")</f>
        <v>#REF!</v>
      </c>
      <c r="BP81" t="e">
        <f>AND(#REF!,"AAAAAGvptkM=")</f>
        <v>#REF!</v>
      </c>
      <c r="BQ81" t="e">
        <f>AND(#REF!,"AAAAAGvptkQ=")</f>
        <v>#REF!</v>
      </c>
      <c r="BR81" t="e">
        <f>AND(#REF!,"AAAAAGvptkU=")</f>
        <v>#REF!</v>
      </c>
      <c r="BS81" t="e">
        <f>AND(#REF!,"AAAAAGvptkY=")</f>
        <v>#REF!</v>
      </c>
      <c r="BT81" t="e">
        <f>AND(#REF!,"AAAAAGvptkc=")</f>
        <v>#REF!</v>
      </c>
      <c r="BU81" t="e">
        <f>AND(#REF!,"AAAAAGvptkg=")</f>
        <v>#REF!</v>
      </c>
      <c r="BV81" t="e">
        <f>AND(#REF!,"AAAAAGvptkk=")</f>
        <v>#REF!</v>
      </c>
      <c r="BW81" t="e">
        <f>AND(#REF!,"AAAAAGvptko=")</f>
        <v>#REF!</v>
      </c>
      <c r="BX81" t="e">
        <f>AND(#REF!,"AAAAAGvptks=")</f>
        <v>#REF!</v>
      </c>
      <c r="BY81" t="e">
        <f>AND(#REF!,"AAAAAGvptkw=")</f>
        <v>#REF!</v>
      </c>
      <c r="BZ81" t="e">
        <f>AND(#REF!,"AAAAAGvptk0=")</f>
        <v>#REF!</v>
      </c>
      <c r="CA81" t="e">
        <f>AND(#REF!,"AAAAAGvptk4=")</f>
        <v>#REF!</v>
      </c>
      <c r="CB81" t="e">
        <f>AND(#REF!,"AAAAAGvptk8=")</f>
        <v>#REF!</v>
      </c>
      <c r="CC81" t="e">
        <f>IF(#REF!,"AAAAAGvptlA=",0)</f>
        <v>#REF!</v>
      </c>
      <c r="CD81" t="e">
        <f>AND(#REF!,"AAAAAGvptlE=")</f>
        <v>#REF!</v>
      </c>
      <c r="CE81" t="e">
        <f>AND(#REF!,"AAAAAGvptlI=")</f>
        <v>#REF!</v>
      </c>
      <c r="CF81" t="e">
        <f>AND(#REF!,"AAAAAGvptlM=")</f>
        <v>#REF!</v>
      </c>
      <c r="CG81" t="e">
        <f>AND(#REF!,"AAAAAGvptlQ=")</f>
        <v>#REF!</v>
      </c>
      <c r="CH81" t="e">
        <f>AND(#REF!,"AAAAAGvptlU=")</f>
        <v>#REF!</v>
      </c>
      <c r="CI81" t="e">
        <f>AND(#REF!,"AAAAAGvptlY=")</f>
        <v>#REF!</v>
      </c>
      <c r="CJ81" t="e">
        <f>AND(#REF!,"AAAAAGvptlc=")</f>
        <v>#REF!</v>
      </c>
      <c r="CK81" t="e">
        <f>AND(#REF!,"AAAAAGvptlg=")</f>
        <v>#REF!</v>
      </c>
      <c r="CL81" t="e">
        <f>AND(#REF!,"AAAAAGvptlk=")</f>
        <v>#REF!</v>
      </c>
      <c r="CM81" t="e">
        <f>AND(#REF!,"AAAAAGvptlo=")</f>
        <v>#REF!</v>
      </c>
      <c r="CN81" t="e">
        <f>AND(#REF!,"AAAAAGvptls=")</f>
        <v>#REF!</v>
      </c>
      <c r="CO81" t="e">
        <f>AND(#REF!,"AAAAAGvptlw=")</f>
        <v>#REF!</v>
      </c>
      <c r="CP81" t="e">
        <f>AND(#REF!,"AAAAAGvptl0=")</f>
        <v>#REF!</v>
      </c>
      <c r="CQ81" t="e">
        <f>AND(#REF!,"AAAAAGvptl4=")</f>
        <v>#REF!</v>
      </c>
      <c r="CR81" t="e">
        <f>AND(#REF!,"AAAAAGvptl8=")</f>
        <v>#REF!</v>
      </c>
      <c r="CS81" t="e">
        <f>AND(#REF!,"AAAAAGvptmA=")</f>
        <v>#REF!</v>
      </c>
      <c r="CT81" t="e">
        <f>AND(#REF!,"AAAAAGvptmE=")</f>
        <v>#REF!</v>
      </c>
      <c r="CU81" t="e">
        <f>AND(#REF!,"AAAAAGvptmI=")</f>
        <v>#REF!</v>
      </c>
      <c r="CV81" t="e">
        <f>AND(#REF!,"AAAAAGvptmM=")</f>
        <v>#REF!</v>
      </c>
      <c r="CW81" t="e">
        <f>AND(#REF!,"AAAAAGvptmQ=")</f>
        <v>#REF!</v>
      </c>
      <c r="CX81" t="e">
        <f>AND(#REF!,"AAAAAGvptmU=")</f>
        <v>#REF!</v>
      </c>
      <c r="CY81" t="e">
        <f>AND(#REF!,"AAAAAGvptmY=")</f>
        <v>#REF!</v>
      </c>
      <c r="CZ81" t="e">
        <f>AND(#REF!,"AAAAAGvptmc=")</f>
        <v>#REF!</v>
      </c>
      <c r="DA81" t="e">
        <f>AND(#REF!,"AAAAAGvptmg=")</f>
        <v>#REF!</v>
      </c>
      <c r="DB81" t="e">
        <f>AND(#REF!,"AAAAAGvptmk=")</f>
        <v>#REF!</v>
      </c>
      <c r="DC81" t="e">
        <f>AND(#REF!,"AAAAAGvptmo=")</f>
        <v>#REF!</v>
      </c>
      <c r="DD81" t="e">
        <f>IF(#REF!,"AAAAAGvptms=",0)</f>
        <v>#REF!</v>
      </c>
      <c r="DE81" t="e">
        <f>AND(#REF!,"AAAAAGvptmw=")</f>
        <v>#REF!</v>
      </c>
      <c r="DF81" t="e">
        <f>AND(#REF!,"AAAAAGvptm0=")</f>
        <v>#REF!</v>
      </c>
      <c r="DG81" t="e">
        <f>AND(#REF!,"AAAAAGvptm4=")</f>
        <v>#REF!</v>
      </c>
      <c r="DH81" t="e">
        <f>AND(#REF!,"AAAAAGvptm8=")</f>
        <v>#REF!</v>
      </c>
      <c r="DI81" t="e">
        <f>AND(#REF!,"AAAAAGvptnA=")</f>
        <v>#REF!</v>
      </c>
      <c r="DJ81" t="e">
        <f>AND(#REF!,"AAAAAGvptnE=")</f>
        <v>#REF!</v>
      </c>
      <c r="DK81" t="e">
        <f>AND(#REF!,"AAAAAGvptnI=")</f>
        <v>#REF!</v>
      </c>
      <c r="DL81" t="e">
        <f>AND(#REF!,"AAAAAGvptnM=")</f>
        <v>#REF!</v>
      </c>
      <c r="DM81" t="e">
        <f>AND(#REF!,"AAAAAGvptnQ=")</f>
        <v>#REF!</v>
      </c>
      <c r="DN81" t="e">
        <f>AND(#REF!,"AAAAAGvptnU=")</f>
        <v>#REF!</v>
      </c>
      <c r="DO81" t="e">
        <f>AND(#REF!,"AAAAAGvptnY=")</f>
        <v>#REF!</v>
      </c>
      <c r="DP81" t="e">
        <f>AND(#REF!,"AAAAAGvptnc=")</f>
        <v>#REF!</v>
      </c>
      <c r="DQ81" t="e">
        <f>AND(#REF!,"AAAAAGvptng=")</f>
        <v>#REF!</v>
      </c>
      <c r="DR81" t="e">
        <f>AND(#REF!,"AAAAAGvptnk=")</f>
        <v>#REF!</v>
      </c>
      <c r="DS81" t="e">
        <f>AND(#REF!,"AAAAAGvptno=")</f>
        <v>#REF!</v>
      </c>
      <c r="DT81" t="e">
        <f>AND(#REF!,"AAAAAGvptns=")</f>
        <v>#REF!</v>
      </c>
      <c r="DU81" t="e">
        <f>AND(#REF!,"AAAAAGvptnw=")</f>
        <v>#REF!</v>
      </c>
      <c r="DV81" t="e">
        <f>AND(#REF!,"AAAAAGvptn0=")</f>
        <v>#REF!</v>
      </c>
      <c r="DW81" t="e">
        <f>AND(#REF!,"AAAAAGvptn4=")</f>
        <v>#REF!</v>
      </c>
      <c r="DX81" t="e">
        <f>AND(#REF!,"AAAAAGvptn8=")</f>
        <v>#REF!</v>
      </c>
      <c r="DY81" t="e">
        <f>AND(#REF!,"AAAAAGvptoA=")</f>
        <v>#REF!</v>
      </c>
      <c r="DZ81" t="e">
        <f>AND(#REF!,"AAAAAGvptoE=")</f>
        <v>#REF!</v>
      </c>
      <c r="EA81" t="e">
        <f>AND(#REF!,"AAAAAGvptoI=")</f>
        <v>#REF!</v>
      </c>
      <c r="EB81" t="e">
        <f>AND(#REF!,"AAAAAGvptoM=")</f>
        <v>#REF!</v>
      </c>
      <c r="EC81" t="e">
        <f>AND(#REF!,"AAAAAGvptoQ=")</f>
        <v>#REF!</v>
      </c>
      <c r="ED81" t="e">
        <f>AND(#REF!,"AAAAAGvptoU=")</f>
        <v>#REF!</v>
      </c>
      <c r="EE81" t="e">
        <f>IF(#REF!,"AAAAAGvptoY=",0)</f>
        <v>#REF!</v>
      </c>
      <c r="EF81" t="e">
        <f>AND(#REF!,"AAAAAGvptoc=")</f>
        <v>#REF!</v>
      </c>
      <c r="EG81" t="e">
        <f>AND(#REF!,"AAAAAGvptog=")</f>
        <v>#REF!</v>
      </c>
      <c r="EH81" t="e">
        <f>AND(#REF!,"AAAAAGvptok=")</f>
        <v>#REF!</v>
      </c>
      <c r="EI81" t="e">
        <f>AND(#REF!,"AAAAAGvptoo=")</f>
        <v>#REF!</v>
      </c>
      <c r="EJ81" t="e">
        <f>AND(#REF!,"AAAAAGvptos=")</f>
        <v>#REF!</v>
      </c>
      <c r="EK81" t="e">
        <f>AND(#REF!,"AAAAAGvptow=")</f>
        <v>#REF!</v>
      </c>
      <c r="EL81" t="e">
        <f>AND(#REF!,"AAAAAGvpto0=")</f>
        <v>#REF!</v>
      </c>
      <c r="EM81" t="e">
        <f>AND(#REF!,"AAAAAGvpto4=")</f>
        <v>#REF!</v>
      </c>
      <c r="EN81" t="e">
        <f>AND(#REF!,"AAAAAGvpto8=")</f>
        <v>#REF!</v>
      </c>
      <c r="EO81" t="e">
        <f>AND(#REF!,"AAAAAGvptpA=")</f>
        <v>#REF!</v>
      </c>
      <c r="EP81" t="e">
        <f>AND(#REF!,"AAAAAGvptpE=")</f>
        <v>#REF!</v>
      </c>
      <c r="EQ81" t="e">
        <f>AND(#REF!,"AAAAAGvptpI=")</f>
        <v>#REF!</v>
      </c>
      <c r="ER81" t="e">
        <f>AND(#REF!,"AAAAAGvptpM=")</f>
        <v>#REF!</v>
      </c>
      <c r="ES81" t="e">
        <f>AND(#REF!,"AAAAAGvptpQ=")</f>
        <v>#REF!</v>
      </c>
      <c r="ET81" t="e">
        <f>AND(#REF!,"AAAAAGvptpU=")</f>
        <v>#REF!</v>
      </c>
      <c r="EU81" t="e">
        <f>AND(#REF!,"AAAAAGvptpY=")</f>
        <v>#REF!</v>
      </c>
      <c r="EV81" t="e">
        <f>AND(#REF!,"AAAAAGvptpc=")</f>
        <v>#REF!</v>
      </c>
      <c r="EW81" t="e">
        <f>AND(#REF!,"AAAAAGvptpg=")</f>
        <v>#REF!</v>
      </c>
      <c r="EX81" t="e">
        <f>AND(#REF!,"AAAAAGvptpk=")</f>
        <v>#REF!</v>
      </c>
      <c r="EY81" t="e">
        <f>AND(#REF!,"AAAAAGvptpo=")</f>
        <v>#REF!</v>
      </c>
      <c r="EZ81" t="e">
        <f>AND(#REF!,"AAAAAGvptps=")</f>
        <v>#REF!</v>
      </c>
      <c r="FA81" t="e">
        <f>AND(#REF!,"AAAAAGvptpw=")</f>
        <v>#REF!</v>
      </c>
      <c r="FB81" t="e">
        <f>AND(#REF!,"AAAAAGvptp0=")</f>
        <v>#REF!</v>
      </c>
      <c r="FC81" t="e">
        <f>AND(#REF!,"AAAAAGvptp4=")</f>
        <v>#REF!</v>
      </c>
      <c r="FD81" t="e">
        <f>AND(#REF!,"AAAAAGvptp8=")</f>
        <v>#REF!</v>
      </c>
      <c r="FE81" t="e">
        <f>AND(#REF!,"AAAAAGvptqA=")</f>
        <v>#REF!</v>
      </c>
      <c r="FF81" t="e">
        <f>IF(#REF!,"AAAAAGvptqE=",0)</f>
        <v>#REF!</v>
      </c>
      <c r="FG81" t="e">
        <f>AND(#REF!,"AAAAAGvptqI=")</f>
        <v>#REF!</v>
      </c>
      <c r="FH81" t="e">
        <f>AND(#REF!,"AAAAAGvptqM=")</f>
        <v>#REF!</v>
      </c>
      <c r="FI81" t="e">
        <f>AND(#REF!,"AAAAAGvptqQ=")</f>
        <v>#REF!</v>
      </c>
      <c r="FJ81" t="e">
        <f>AND(#REF!,"AAAAAGvptqU=")</f>
        <v>#REF!</v>
      </c>
      <c r="FK81" t="e">
        <f>AND(#REF!,"AAAAAGvptqY=")</f>
        <v>#REF!</v>
      </c>
      <c r="FL81" t="e">
        <f>AND(#REF!,"AAAAAGvptqc=")</f>
        <v>#REF!</v>
      </c>
      <c r="FM81" t="e">
        <f>AND(#REF!,"AAAAAGvptqg=")</f>
        <v>#REF!</v>
      </c>
      <c r="FN81" t="e">
        <f>AND(#REF!,"AAAAAGvptqk=")</f>
        <v>#REF!</v>
      </c>
      <c r="FO81" t="e">
        <f>AND(#REF!,"AAAAAGvptqo=")</f>
        <v>#REF!</v>
      </c>
      <c r="FP81" t="e">
        <f>AND(#REF!,"AAAAAGvptqs=")</f>
        <v>#REF!</v>
      </c>
      <c r="FQ81" t="e">
        <f>AND(#REF!,"AAAAAGvptqw=")</f>
        <v>#REF!</v>
      </c>
      <c r="FR81" t="e">
        <f>AND(#REF!,"AAAAAGvptq0=")</f>
        <v>#REF!</v>
      </c>
      <c r="FS81" t="e">
        <f>AND(#REF!,"AAAAAGvptq4=")</f>
        <v>#REF!</v>
      </c>
      <c r="FT81" t="e">
        <f>AND(#REF!,"AAAAAGvptq8=")</f>
        <v>#REF!</v>
      </c>
      <c r="FU81" t="e">
        <f>AND(#REF!,"AAAAAGvptrA=")</f>
        <v>#REF!</v>
      </c>
      <c r="FV81" t="e">
        <f>AND(#REF!,"AAAAAGvptrE=")</f>
        <v>#REF!</v>
      </c>
      <c r="FW81" t="e">
        <f>AND(#REF!,"AAAAAGvptrI=")</f>
        <v>#REF!</v>
      </c>
      <c r="FX81" t="e">
        <f>AND(#REF!,"AAAAAGvptrM=")</f>
        <v>#REF!</v>
      </c>
      <c r="FY81" t="e">
        <f>AND(#REF!,"AAAAAGvptrQ=")</f>
        <v>#REF!</v>
      </c>
      <c r="FZ81" t="e">
        <f>AND(#REF!,"AAAAAGvptrU=")</f>
        <v>#REF!</v>
      </c>
      <c r="GA81" t="e">
        <f>AND(#REF!,"AAAAAGvptrY=")</f>
        <v>#REF!</v>
      </c>
      <c r="GB81" t="e">
        <f>AND(#REF!,"AAAAAGvptrc=")</f>
        <v>#REF!</v>
      </c>
      <c r="GC81" t="e">
        <f>AND(#REF!,"AAAAAGvptrg=")</f>
        <v>#REF!</v>
      </c>
      <c r="GD81" t="e">
        <f>AND(#REF!,"AAAAAGvptrk=")</f>
        <v>#REF!</v>
      </c>
      <c r="GE81" t="e">
        <f>AND(#REF!,"AAAAAGvptro=")</f>
        <v>#REF!</v>
      </c>
      <c r="GF81" t="e">
        <f>AND(#REF!,"AAAAAGvptrs=")</f>
        <v>#REF!</v>
      </c>
      <c r="GG81" t="e">
        <f>IF(#REF!,"AAAAAGvptrw=",0)</f>
        <v>#REF!</v>
      </c>
      <c r="GH81" t="e">
        <f>AND(#REF!,"AAAAAGvptr0=")</f>
        <v>#REF!</v>
      </c>
      <c r="GI81" t="e">
        <f>AND(#REF!,"AAAAAGvptr4=")</f>
        <v>#REF!</v>
      </c>
      <c r="GJ81" t="e">
        <f>AND(#REF!,"AAAAAGvptr8=")</f>
        <v>#REF!</v>
      </c>
      <c r="GK81" t="e">
        <f>AND(#REF!,"AAAAAGvptsA=")</f>
        <v>#REF!</v>
      </c>
      <c r="GL81" t="e">
        <f>AND(#REF!,"AAAAAGvptsE=")</f>
        <v>#REF!</v>
      </c>
      <c r="GM81" t="e">
        <f>AND(#REF!,"AAAAAGvptsI=")</f>
        <v>#REF!</v>
      </c>
      <c r="GN81" t="e">
        <f>AND(#REF!,"AAAAAGvptsM=")</f>
        <v>#REF!</v>
      </c>
      <c r="GO81" t="e">
        <f>AND(#REF!,"AAAAAGvptsQ=")</f>
        <v>#REF!</v>
      </c>
      <c r="GP81" t="e">
        <f>AND(#REF!,"AAAAAGvptsU=")</f>
        <v>#REF!</v>
      </c>
      <c r="GQ81" t="e">
        <f>AND(#REF!,"AAAAAGvptsY=")</f>
        <v>#REF!</v>
      </c>
      <c r="GR81" t="e">
        <f>AND(#REF!,"AAAAAGvptsc=")</f>
        <v>#REF!</v>
      </c>
      <c r="GS81" t="e">
        <f>AND(#REF!,"AAAAAGvptsg=")</f>
        <v>#REF!</v>
      </c>
      <c r="GT81" t="e">
        <f>AND(#REF!,"AAAAAGvptsk=")</f>
        <v>#REF!</v>
      </c>
      <c r="GU81" t="e">
        <f>AND(#REF!,"AAAAAGvptso=")</f>
        <v>#REF!</v>
      </c>
      <c r="GV81" t="e">
        <f>AND(#REF!,"AAAAAGvptss=")</f>
        <v>#REF!</v>
      </c>
      <c r="GW81" t="e">
        <f>AND(#REF!,"AAAAAGvptsw=")</f>
        <v>#REF!</v>
      </c>
      <c r="GX81" t="e">
        <f>AND(#REF!,"AAAAAGvpts0=")</f>
        <v>#REF!</v>
      </c>
      <c r="GY81" t="e">
        <f>AND(#REF!,"AAAAAGvpts4=")</f>
        <v>#REF!</v>
      </c>
      <c r="GZ81" t="e">
        <f>AND(#REF!,"AAAAAGvpts8=")</f>
        <v>#REF!</v>
      </c>
      <c r="HA81" t="e">
        <f>AND(#REF!,"AAAAAGvpttA=")</f>
        <v>#REF!</v>
      </c>
      <c r="HB81" t="e">
        <f>AND(#REF!,"AAAAAGvpttE=")</f>
        <v>#REF!</v>
      </c>
      <c r="HC81" t="e">
        <f>AND(#REF!,"AAAAAGvpttI=")</f>
        <v>#REF!</v>
      </c>
      <c r="HD81" t="e">
        <f>AND(#REF!,"AAAAAGvpttM=")</f>
        <v>#REF!</v>
      </c>
      <c r="HE81" t="e">
        <f>AND(#REF!,"AAAAAGvpttQ=")</f>
        <v>#REF!</v>
      </c>
      <c r="HF81" t="e">
        <f>AND(#REF!,"AAAAAGvpttU=")</f>
        <v>#REF!</v>
      </c>
      <c r="HG81" t="e">
        <f>AND(#REF!,"AAAAAGvpttY=")</f>
        <v>#REF!</v>
      </c>
      <c r="HH81" t="e">
        <f>IF(#REF!,"AAAAAGvpttc=",0)</f>
        <v>#REF!</v>
      </c>
      <c r="HI81" t="e">
        <f>AND(#REF!,"AAAAAGvpttg=")</f>
        <v>#REF!</v>
      </c>
      <c r="HJ81" t="e">
        <f>AND(#REF!,"AAAAAGvpttk=")</f>
        <v>#REF!</v>
      </c>
      <c r="HK81" t="e">
        <f>AND(#REF!,"AAAAAGvptto=")</f>
        <v>#REF!</v>
      </c>
      <c r="HL81" t="e">
        <f>AND(#REF!,"AAAAAGvptts=")</f>
        <v>#REF!</v>
      </c>
      <c r="HM81" t="e">
        <f>AND(#REF!,"AAAAAGvpttw=")</f>
        <v>#REF!</v>
      </c>
      <c r="HN81" t="e">
        <f>AND(#REF!,"AAAAAGvptt0=")</f>
        <v>#REF!</v>
      </c>
      <c r="HO81" t="e">
        <f>AND(#REF!,"AAAAAGvptt4=")</f>
        <v>#REF!</v>
      </c>
      <c r="HP81" t="e">
        <f>AND(#REF!,"AAAAAGvptt8=")</f>
        <v>#REF!</v>
      </c>
      <c r="HQ81" t="e">
        <f>AND(#REF!,"AAAAAGvptuA=")</f>
        <v>#REF!</v>
      </c>
      <c r="HR81" t="e">
        <f>AND(#REF!,"AAAAAGvptuE=")</f>
        <v>#REF!</v>
      </c>
      <c r="HS81" t="e">
        <f>AND(#REF!,"AAAAAGvptuI=")</f>
        <v>#REF!</v>
      </c>
      <c r="HT81" t="e">
        <f>AND(#REF!,"AAAAAGvptuM=")</f>
        <v>#REF!</v>
      </c>
      <c r="HU81" t="e">
        <f>AND(#REF!,"AAAAAGvptuQ=")</f>
        <v>#REF!</v>
      </c>
      <c r="HV81" t="e">
        <f>AND(#REF!,"AAAAAGvptuU=")</f>
        <v>#REF!</v>
      </c>
      <c r="HW81" t="e">
        <f>AND(#REF!,"AAAAAGvptuY=")</f>
        <v>#REF!</v>
      </c>
      <c r="HX81" t="e">
        <f>AND(#REF!,"AAAAAGvptuc=")</f>
        <v>#REF!</v>
      </c>
      <c r="HY81" t="e">
        <f>AND(#REF!,"AAAAAGvptug=")</f>
        <v>#REF!</v>
      </c>
      <c r="HZ81" t="e">
        <f>AND(#REF!,"AAAAAGvptuk=")</f>
        <v>#REF!</v>
      </c>
      <c r="IA81" t="e">
        <f>AND(#REF!,"AAAAAGvptuo=")</f>
        <v>#REF!</v>
      </c>
      <c r="IB81" t="e">
        <f>AND(#REF!,"AAAAAGvptus=")</f>
        <v>#REF!</v>
      </c>
      <c r="IC81" t="e">
        <f>AND(#REF!,"AAAAAGvptuw=")</f>
        <v>#REF!</v>
      </c>
      <c r="ID81" t="e">
        <f>AND(#REF!,"AAAAAGvptu0=")</f>
        <v>#REF!</v>
      </c>
      <c r="IE81" t="e">
        <f>AND(#REF!,"AAAAAGvptu4=")</f>
        <v>#REF!</v>
      </c>
      <c r="IF81" t="e">
        <f>AND(#REF!,"AAAAAGvptu8=")</f>
        <v>#REF!</v>
      </c>
      <c r="IG81" t="e">
        <f>AND(#REF!,"AAAAAGvptvA=")</f>
        <v>#REF!</v>
      </c>
      <c r="IH81" t="e">
        <f>AND(#REF!,"AAAAAGvptvE=")</f>
        <v>#REF!</v>
      </c>
      <c r="II81" t="e">
        <f>IF(#REF!,"AAAAAGvptvI=",0)</f>
        <v>#REF!</v>
      </c>
      <c r="IJ81" t="e">
        <f>AND(#REF!,"AAAAAGvptvM=")</f>
        <v>#REF!</v>
      </c>
      <c r="IK81" t="e">
        <f>AND(#REF!,"AAAAAGvptvQ=")</f>
        <v>#REF!</v>
      </c>
      <c r="IL81" t="e">
        <f>AND(#REF!,"AAAAAGvptvU=")</f>
        <v>#REF!</v>
      </c>
      <c r="IM81" t="e">
        <f>AND(#REF!,"AAAAAGvptvY=")</f>
        <v>#REF!</v>
      </c>
      <c r="IN81" t="e">
        <f>AND(#REF!,"AAAAAGvptvc=")</f>
        <v>#REF!</v>
      </c>
      <c r="IO81" t="e">
        <f>AND(#REF!,"AAAAAGvptvg=")</f>
        <v>#REF!</v>
      </c>
      <c r="IP81" t="e">
        <f>AND(#REF!,"AAAAAGvptvk=")</f>
        <v>#REF!</v>
      </c>
      <c r="IQ81" t="e">
        <f>AND(#REF!,"AAAAAGvptvo=")</f>
        <v>#REF!</v>
      </c>
      <c r="IR81" t="e">
        <f>AND(#REF!,"AAAAAGvptvs=")</f>
        <v>#REF!</v>
      </c>
      <c r="IS81" t="e">
        <f>AND(#REF!,"AAAAAGvptvw=")</f>
        <v>#REF!</v>
      </c>
      <c r="IT81" t="e">
        <f>AND(#REF!,"AAAAAGvptv0=")</f>
        <v>#REF!</v>
      </c>
      <c r="IU81" t="e">
        <f>AND(#REF!,"AAAAAGvptv4=")</f>
        <v>#REF!</v>
      </c>
      <c r="IV81" t="e">
        <f>AND(#REF!,"AAAAAGvptv8=")</f>
        <v>#REF!</v>
      </c>
    </row>
    <row r="82" spans="1:256" x14ac:dyDescent="0.2">
      <c r="A82" t="e">
        <f>AND(#REF!,"AAAAAH+90gA=")</f>
        <v>#REF!</v>
      </c>
      <c r="B82" t="e">
        <f>AND(#REF!,"AAAAAH+90gE=")</f>
        <v>#REF!</v>
      </c>
      <c r="C82" t="e">
        <f>AND(#REF!,"AAAAAH+90gI=")</f>
        <v>#REF!</v>
      </c>
      <c r="D82" t="e">
        <f>AND(#REF!,"AAAAAH+90gM=")</f>
        <v>#REF!</v>
      </c>
      <c r="E82" t="e">
        <f>AND(#REF!,"AAAAAH+90gQ=")</f>
        <v>#REF!</v>
      </c>
      <c r="F82" t="e">
        <f>AND(#REF!,"AAAAAH+90gU=")</f>
        <v>#REF!</v>
      </c>
      <c r="G82" t="e">
        <f>AND(#REF!,"AAAAAH+90gY=")</f>
        <v>#REF!</v>
      </c>
      <c r="H82" t="e">
        <f>AND(#REF!,"AAAAAH+90gc=")</f>
        <v>#REF!</v>
      </c>
      <c r="I82" t="e">
        <f>AND(#REF!,"AAAAAH+90gg=")</f>
        <v>#REF!</v>
      </c>
      <c r="J82" t="e">
        <f>AND(#REF!,"AAAAAH+90gk=")</f>
        <v>#REF!</v>
      </c>
      <c r="K82" t="e">
        <f>AND(#REF!,"AAAAAH+90go=")</f>
        <v>#REF!</v>
      </c>
      <c r="L82" t="e">
        <f>AND(#REF!,"AAAAAH+90gs=")</f>
        <v>#REF!</v>
      </c>
      <c r="M82" t="e">
        <f>AND(#REF!,"AAAAAH+90gw=")</f>
        <v>#REF!</v>
      </c>
      <c r="N82" t="e">
        <f>IF(#REF!,"AAAAAH+90g0=",0)</f>
        <v>#REF!</v>
      </c>
      <c r="O82" t="e">
        <f>AND(#REF!,"AAAAAH+90g4=")</f>
        <v>#REF!</v>
      </c>
      <c r="P82" t="e">
        <f>AND(#REF!,"AAAAAH+90g8=")</f>
        <v>#REF!</v>
      </c>
      <c r="Q82" t="e">
        <f>AND(#REF!,"AAAAAH+90hA=")</f>
        <v>#REF!</v>
      </c>
      <c r="R82" t="e">
        <f>AND(#REF!,"AAAAAH+90hE=")</f>
        <v>#REF!</v>
      </c>
      <c r="S82" t="e">
        <f>AND(#REF!,"AAAAAH+90hI=")</f>
        <v>#REF!</v>
      </c>
      <c r="T82" t="e">
        <f>AND(#REF!,"AAAAAH+90hM=")</f>
        <v>#REF!</v>
      </c>
      <c r="U82" t="e">
        <f>AND(#REF!,"AAAAAH+90hQ=")</f>
        <v>#REF!</v>
      </c>
      <c r="V82" t="e">
        <f>AND(#REF!,"AAAAAH+90hU=")</f>
        <v>#REF!</v>
      </c>
      <c r="W82" t="e">
        <f>AND(#REF!,"AAAAAH+90hY=")</f>
        <v>#REF!</v>
      </c>
      <c r="X82" t="e">
        <f>AND(#REF!,"AAAAAH+90hc=")</f>
        <v>#REF!</v>
      </c>
      <c r="Y82" t="e">
        <f>AND(#REF!,"AAAAAH+90hg=")</f>
        <v>#REF!</v>
      </c>
      <c r="Z82" t="e">
        <f>AND(#REF!,"AAAAAH+90hk=")</f>
        <v>#REF!</v>
      </c>
      <c r="AA82" t="e">
        <f>AND(#REF!,"AAAAAH+90ho=")</f>
        <v>#REF!</v>
      </c>
      <c r="AB82" t="e">
        <f>AND(#REF!,"AAAAAH+90hs=")</f>
        <v>#REF!</v>
      </c>
      <c r="AC82" t="e">
        <f>AND(#REF!,"AAAAAH+90hw=")</f>
        <v>#REF!</v>
      </c>
      <c r="AD82" t="e">
        <f>AND(#REF!,"AAAAAH+90h0=")</f>
        <v>#REF!</v>
      </c>
      <c r="AE82" t="e">
        <f>AND(#REF!,"AAAAAH+90h4=")</f>
        <v>#REF!</v>
      </c>
      <c r="AF82" t="e">
        <f>AND(#REF!,"AAAAAH+90h8=")</f>
        <v>#REF!</v>
      </c>
      <c r="AG82" t="e">
        <f>AND(#REF!,"AAAAAH+90iA=")</f>
        <v>#REF!</v>
      </c>
      <c r="AH82" t="e">
        <f>AND(#REF!,"AAAAAH+90iE=")</f>
        <v>#REF!</v>
      </c>
      <c r="AI82" t="e">
        <f>AND(#REF!,"AAAAAH+90iI=")</f>
        <v>#REF!</v>
      </c>
      <c r="AJ82" t="e">
        <f>AND(#REF!,"AAAAAH+90iM=")</f>
        <v>#REF!</v>
      </c>
      <c r="AK82" t="e">
        <f>AND(#REF!,"AAAAAH+90iQ=")</f>
        <v>#REF!</v>
      </c>
      <c r="AL82" t="e">
        <f>AND(#REF!,"AAAAAH+90iU=")</f>
        <v>#REF!</v>
      </c>
      <c r="AM82" t="e">
        <f>AND(#REF!,"AAAAAH+90iY=")</f>
        <v>#REF!</v>
      </c>
      <c r="AN82" t="e">
        <f>AND(#REF!,"AAAAAH+90ic=")</f>
        <v>#REF!</v>
      </c>
      <c r="AO82" t="e">
        <f>IF(#REF!,"AAAAAH+90ig=",0)</f>
        <v>#REF!</v>
      </c>
      <c r="AP82" t="e">
        <f>AND(#REF!,"AAAAAH+90ik=")</f>
        <v>#REF!</v>
      </c>
      <c r="AQ82" t="e">
        <f>AND(#REF!,"AAAAAH+90io=")</f>
        <v>#REF!</v>
      </c>
      <c r="AR82" t="e">
        <f>AND(#REF!,"AAAAAH+90is=")</f>
        <v>#REF!</v>
      </c>
      <c r="AS82" t="e">
        <f>AND(#REF!,"AAAAAH+90iw=")</f>
        <v>#REF!</v>
      </c>
      <c r="AT82" t="e">
        <f>AND(#REF!,"AAAAAH+90i0=")</f>
        <v>#REF!</v>
      </c>
      <c r="AU82" t="e">
        <f>AND(#REF!,"AAAAAH+90i4=")</f>
        <v>#REF!</v>
      </c>
      <c r="AV82" t="e">
        <f>AND(#REF!,"AAAAAH+90i8=")</f>
        <v>#REF!</v>
      </c>
      <c r="AW82" t="e">
        <f>AND(#REF!,"AAAAAH+90jA=")</f>
        <v>#REF!</v>
      </c>
      <c r="AX82" t="e">
        <f>AND(#REF!,"AAAAAH+90jE=")</f>
        <v>#REF!</v>
      </c>
      <c r="AY82" t="e">
        <f>AND(#REF!,"AAAAAH+90jI=")</f>
        <v>#REF!</v>
      </c>
      <c r="AZ82" t="e">
        <f>AND(#REF!,"AAAAAH+90jM=")</f>
        <v>#REF!</v>
      </c>
      <c r="BA82" t="e">
        <f>AND(#REF!,"AAAAAH+90jQ=")</f>
        <v>#REF!</v>
      </c>
      <c r="BB82" t="e">
        <f>AND(#REF!,"AAAAAH+90jU=")</f>
        <v>#REF!</v>
      </c>
      <c r="BC82" t="e">
        <f>AND(#REF!,"AAAAAH+90jY=")</f>
        <v>#REF!</v>
      </c>
      <c r="BD82" t="e">
        <f>AND(#REF!,"AAAAAH+90jc=")</f>
        <v>#REF!</v>
      </c>
      <c r="BE82" t="e">
        <f>AND(#REF!,"AAAAAH+90jg=")</f>
        <v>#REF!</v>
      </c>
      <c r="BF82" t="e">
        <f>AND(#REF!,"AAAAAH+90jk=")</f>
        <v>#REF!</v>
      </c>
      <c r="BG82" t="e">
        <f>AND(#REF!,"AAAAAH+90jo=")</f>
        <v>#REF!</v>
      </c>
      <c r="BH82" t="e">
        <f>AND(#REF!,"AAAAAH+90js=")</f>
        <v>#REF!</v>
      </c>
      <c r="BI82" t="e">
        <f>AND(#REF!,"AAAAAH+90jw=")</f>
        <v>#REF!</v>
      </c>
      <c r="BJ82" t="e">
        <f>AND(#REF!,"AAAAAH+90j0=")</f>
        <v>#REF!</v>
      </c>
      <c r="BK82" t="e">
        <f>AND(#REF!,"AAAAAH+90j4=")</f>
        <v>#REF!</v>
      </c>
      <c r="BL82" t="e">
        <f>AND(#REF!,"AAAAAH+90j8=")</f>
        <v>#REF!</v>
      </c>
      <c r="BM82" t="e">
        <f>AND(#REF!,"AAAAAH+90kA=")</f>
        <v>#REF!</v>
      </c>
      <c r="BN82" t="e">
        <f>AND(#REF!,"AAAAAH+90kE=")</f>
        <v>#REF!</v>
      </c>
      <c r="BO82" t="e">
        <f>AND(#REF!,"AAAAAH+90kI=")</f>
        <v>#REF!</v>
      </c>
      <c r="BP82" t="e">
        <f>IF(#REF!,"AAAAAH+90kM=",0)</f>
        <v>#REF!</v>
      </c>
      <c r="BQ82" t="e">
        <f>AND(#REF!,"AAAAAH+90kQ=")</f>
        <v>#REF!</v>
      </c>
      <c r="BR82" t="e">
        <f>AND(#REF!,"AAAAAH+90kU=")</f>
        <v>#REF!</v>
      </c>
      <c r="BS82" t="e">
        <f>AND(#REF!,"AAAAAH+90kY=")</f>
        <v>#REF!</v>
      </c>
      <c r="BT82" t="e">
        <f>AND(#REF!,"AAAAAH+90kc=")</f>
        <v>#REF!</v>
      </c>
      <c r="BU82" t="e">
        <f>AND(#REF!,"AAAAAH+90kg=")</f>
        <v>#REF!</v>
      </c>
      <c r="BV82" t="e">
        <f>AND(#REF!,"AAAAAH+90kk=")</f>
        <v>#REF!</v>
      </c>
      <c r="BW82" t="e">
        <f>AND(#REF!,"AAAAAH+90ko=")</f>
        <v>#REF!</v>
      </c>
      <c r="BX82" t="e">
        <f>AND(#REF!,"AAAAAH+90ks=")</f>
        <v>#REF!</v>
      </c>
      <c r="BY82" t="e">
        <f>AND(#REF!,"AAAAAH+90kw=")</f>
        <v>#REF!</v>
      </c>
      <c r="BZ82" t="e">
        <f>AND(#REF!,"AAAAAH+90k0=")</f>
        <v>#REF!</v>
      </c>
      <c r="CA82" t="e">
        <f>AND(#REF!,"AAAAAH+90k4=")</f>
        <v>#REF!</v>
      </c>
      <c r="CB82" t="e">
        <f>AND(#REF!,"AAAAAH+90k8=")</f>
        <v>#REF!</v>
      </c>
      <c r="CC82" t="e">
        <f>AND(#REF!,"AAAAAH+90lA=")</f>
        <v>#REF!</v>
      </c>
      <c r="CD82" t="e">
        <f>AND(#REF!,"AAAAAH+90lE=")</f>
        <v>#REF!</v>
      </c>
      <c r="CE82" t="e">
        <f>AND(#REF!,"AAAAAH+90lI=")</f>
        <v>#REF!</v>
      </c>
      <c r="CF82" t="e">
        <f>AND(#REF!,"AAAAAH+90lM=")</f>
        <v>#REF!</v>
      </c>
      <c r="CG82" t="e">
        <f>AND(#REF!,"AAAAAH+90lQ=")</f>
        <v>#REF!</v>
      </c>
      <c r="CH82" t="e">
        <f>AND(#REF!,"AAAAAH+90lU=")</f>
        <v>#REF!</v>
      </c>
      <c r="CI82" t="e">
        <f>AND(#REF!,"AAAAAH+90lY=")</f>
        <v>#REF!</v>
      </c>
      <c r="CJ82" t="e">
        <f>AND(#REF!,"AAAAAH+90lc=")</f>
        <v>#REF!</v>
      </c>
      <c r="CK82" t="e">
        <f>AND(#REF!,"AAAAAH+90lg=")</f>
        <v>#REF!</v>
      </c>
      <c r="CL82" t="e">
        <f>AND(#REF!,"AAAAAH+90lk=")</f>
        <v>#REF!</v>
      </c>
      <c r="CM82" t="e">
        <f>AND(#REF!,"AAAAAH+90lo=")</f>
        <v>#REF!</v>
      </c>
      <c r="CN82" t="e">
        <f>AND(#REF!,"AAAAAH+90ls=")</f>
        <v>#REF!</v>
      </c>
      <c r="CO82" t="e">
        <f>AND(#REF!,"AAAAAH+90lw=")</f>
        <v>#REF!</v>
      </c>
      <c r="CP82" t="e">
        <f>AND(#REF!,"AAAAAH+90l0=")</f>
        <v>#REF!</v>
      </c>
      <c r="CQ82" t="e">
        <f>IF(#REF!,"AAAAAH+90l4=",0)</f>
        <v>#REF!</v>
      </c>
      <c r="CR82" t="e">
        <f>AND(#REF!,"AAAAAH+90l8=")</f>
        <v>#REF!</v>
      </c>
      <c r="CS82" t="e">
        <f>AND(#REF!,"AAAAAH+90mA=")</f>
        <v>#REF!</v>
      </c>
      <c r="CT82" t="e">
        <f>AND(#REF!,"AAAAAH+90mE=")</f>
        <v>#REF!</v>
      </c>
      <c r="CU82" t="e">
        <f>AND(#REF!,"AAAAAH+90mI=")</f>
        <v>#REF!</v>
      </c>
      <c r="CV82" t="e">
        <f>AND(#REF!,"AAAAAH+90mM=")</f>
        <v>#REF!</v>
      </c>
      <c r="CW82" t="e">
        <f>AND(#REF!,"AAAAAH+90mQ=")</f>
        <v>#REF!</v>
      </c>
      <c r="CX82" t="e">
        <f>AND(#REF!,"AAAAAH+90mU=")</f>
        <v>#REF!</v>
      </c>
      <c r="CY82" t="e">
        <f>AND(#REF!,"AAAAAH+90mY=")</f>
        <v>#REF!</v>
      </c>
      <c r="CZ82" t="e">
        <f>AND(#REF!,"AAAAAH+90mc=")</f>
        <v>#REF!</v>
      </c>
      <c r="DA82" t="e">
        <f>AND(#REF!,"AAAAAH+90mg=")</f>
        <v>#REF!</v>
      </c>
      <c r="DB82" t="e">
        <f>AND(#REF!,"AAAAAH+90mk=")</f>
        <v>#REF!</v>
      </c>
      <c r="DC82" t="e">
        <f>AND(#REF!,"AAAAAH+90mo=")</f>
        <v>#REF!</v>
      </c>
      <c r="DD82" t="e">
        <f>AND(#REF!,"AAAAAH+90ms=")</f>
        <v>#REF!</v>
      </c>
      <c r="DE82" t="e">
        <f>AND(#REF!,"AAAAAH+90mw=")</f>
        <v>#REF!</v>
      </c>
      <c r="DF82" t="e">
        <f>AND(#REF!,"AAAAAH+90m0=")</f>
        <v>#REF!</v>
      </c>
      <c r="DG82" t="e">
        <f>AND(#REF!,"AAAAAH+90m4=")</f>
        <v>#REF!</v>
      </c>
      <c r="DH82" t="e">
        <f>AND(#REF!,"AAAAAH+90m8=")</f>
        <v>#REF!</v>
      </c>
      <c r="DI82" t="e">
        <f>AND(#REF!,"AAAAAH+90nA=")</f>
        <v>#REF!</v>
      </c>
      <c r="DJ82" t="e">
        <f>AND(#REF!,"AAAAAH+90nE=")</f>
        <v>#REF!</v>
      </c>
      <c r="DK82" t="e">
        <f>AND(#REF!,"AAAAAH+90nI=")</f>
        <v>#REF!</v>
      </c>
      <c r="DL82" t="e">
        <f>AND(#REF!,"AAAAAH+90nM=")</f>
        <v>#REF!</v>
      </c>
      <c r="DM82" t="e">
        <f>AND(#REF!,"AAAAAH+90nQ=")</f>
        <v>#REF!</v>
      </c>
      <c r="DN82" t="e">
        <f>AND(#REF!,"AAAAAH+90nU=")</f>
        <v>#REF!</v>
      </c>
      <c r="DO82" t="e">
        <f>AND(#REF!,"AAAAAH+90nY=")</f>
        <v>#REF!</v>
      </c>
      <c r="DP82" t="e">
        <f>AND(#REF!,"AAAAAH+90nc=")</f>
        <v>#REF!</v>
      </c>
      <c r="DQ82" t="e">
        <f>AND(#REF!,"AAAAAH+90ng=")</f>
        <v>#REF!</v>
      </c>
      <c r="DR82" t="e">
        <f>IF(#REF!,"AAAAAH+90nk=",0)</f>
        <v>#REF!</v>
      </c>
      <c r="DS82" t="e">
        <f>AND(#REF!,"AAAAAH+90no=")</f>
        <v>#REF!</v>
      </c>
      <c r="DT82" t="e">
        <f>AND(#REF!,"AAAAAH+90ns=")</f>
        <v>#REF!</v>
      </c>
      <c r="DU82" t="e">
        <f>AND(#REF!,"AAAAAH+90nw=")</f>
        <v>#REF!</v>
      </c>
      <c r="DV82" t="e">
        <f>AND(#REF!,"AAAAAH+90n0=")</f>
        <v>#REF!</v>
      </c>
      <c r="DW82" t="e">
        <f>AND(#REF!,"AAAAAH+90n4=")</f>
        <v>#REF!</v>
      </c>
      <c r="DX82" t="e">
        <f>AND(#REF!,"AAAAAH+90n8=")</f>
        <v>#REF!</v>
      </c>
      <c r="DY82" t="e">
        <f>AND(#REF!,"AAAAAH+90oA=")</f>
        <v>#REF!</v>
      </c>
      <c r="DZ82" t="e">
        <f>AND(#REF!,"AAAAAH+90oE=")</f>
        <v>#REF!</v>
      </c>
      <c r="EA82" t="e">
        <f>AND(#REF!,"AAAAAH+90oI=")</f>
        <v>#REF!</v>
      </c>
      <c r="EB82" t="e">
        <f>AND(#REF!,"AAAAAH+90oM=")</f>
        <v>#REF!</v>
      </c>
      <c r="EC82" t="e">
        <f>AND(#REF!,"AAAAAH+90oQ=")</f>
        <v>#REF!</v>
      </c>
      <c r="ED82" t="e">
        <f>AND(#REF!,"AAAAAH+90oU=")</f>
        <v>#REF!</v>
      </c>
      <c r="EE82" t="e">
        <f>AND(#REF!,"AAAAAH+90oY=")</f>
        <v>#REF!</v>
      </c>
      <c r="EF82" t="e">
        <f>AND(#REF!,"AAAAAH+90oc=")</f>
        <v>#REF!</v>
      </c>
      <c r="EG82" t="e">
        <f>AND(#REF!,"AAAAAH+90og=")</f>
        <v>#REF!</v>
      </c>
      <c r="EH82" t="e">
        <f>AND(#REF!,"AAAAAH+90ok=")</f>
        <v>#REF!</v>
      </c>
      <c r="EI82" t="e">
        <f>AND(#REF!,"AAAAAH+90oo=")</f>
        <v>#REF!</v>
      </c>
      <c r="EJ82" t="e">
        <f>AND(#REF!,"AAAAAH+90os=")</f>
        <v>#REF!</v>
      </c>
      <c r="EK82" t="e">
        <f>AND(#REF!,"AAAAAH+90ow=")</f>
        <v>#REF!</v>
      </c>
      <c r="EL82" t="e">
        <f>AND(#REF!,"AAAAAH+90o0=")</f>
        <v>#REF!</v>
      </c>
      <c r="EM82" t="e">
        <f>AND(#REF!,"AAAAAH+90o4=")</f>
        <v>#REF!</v>
      </c>
      <c r="EN82" t="e">
        <f>AND(#REF!,"AAAAAH+90o8=")</f>
        <v>#REF!</v>
      </c>
      <c r="EO82" t="e">
        <f>AND(#REF!,"AAAAAH+90pA=")</f>
        <v>#REF!</v>
      </c>
      <c r="EP82" t="e">
        <f>AND(#REF!,"AAAAAH+90pE=")</f>
        <v>#REF!</v>
      </c>
      <c r="EQ82" t="e">
        <f>AND(#REF!,"AAAAAH+90pI=")</f>
        <v>#REF!</v>
      </c>
      <c r="ER82" t="e">
        <f>AND(#REF!,"AAAAAH+90pM=")</f>
        <v>#REF!</v>
      </c>
      <c r="ES82" t="e">
        <f>IF(#REF!,"AAAAAH+90pQ=",0)</f>
        <v>#REF!</v>
      </c>
      <c r="ET82" t="e">
        <f>AND(#REF!,"AAAAAH+90pU=")</f>
        <v>#REF!</v>
      </c>
      <c r="EU82" t="e">
        <f>AND(#REF!,"AAAAAH+90pY=")</f>
        <v>#REF!</v>
      </c>
      <c r="EV82" t="e">
        <f>AND(#REF!,"AAAAAH+90pc=")</f>
        <v>#REF!</v>
      </c>
      <c r="EW82" t="e">
        <f>AND(#REF!,"AAAAAH+90pg=")</f>
        <v>#REF!</v>
      </c>
      <c r="EX82" t="e">
        <f>AND(#REF!,"AAAAAH+90pk=")</f>
        <v>#REF!</v>
      </c>
      <c r="EY82" t="e">
        <f>AND(#REF!,"AAAAAH+90po=")</f>
        <v>#REF!</v>
      </c>
      <c r="EZ82" t="e">
        <f>AND(#REF!,"AAAAAH+90ps=")</f>
        <v>#REF!</v>
      </c>
      <c r="FA82" t="e">
        <f>AND(#REF!,"AAAAAH+90pw=")</f>
        <v>#REF!</v>
      </c>
      <c r="FB82" t="e">
        <f>AND(#REF!,"AAAAAH+90p0=")</f>
        <v>#REF!</v>
      </c>
      <c r="FC82" t="e">
        <f>AND(#REF!,"AAAAAH+90p4=")</f>
        <v>#REF!</v>
      </c>
      <c r="FD82" t="e">
        <f>AND(#REF!,"AAAAAH+90p8=")</f>
        <v>#REF!</v>
      </c>
      <c r="FE82" t="e">
        <f>AND(#REF!,"AAAAAH+90qA=")</f>
        <v>#REF!</v>
      </c>
      <c r="FF82" t="e">
        <f>AND(#REF!,"AAAAAH+90qE=")</f>
        <v>#REF!</v>
      </c>
      <c r="FG82" t="e">
        <f>AND(#REF!,"AAAAAH+90qI=")</f>
        <v>#REF!</v>
      </c>
      <c r="FH82" t="e">
        <f>AND(#REF!,"AAAAAH+90qM=")</f>
        <v>#REF!</v>
      </c>
      <c r="FI82" t="e">
        <f>AND(#REF!,"AAAAAH+90qQ=")</f>
        <v>#REF!</v>
      </c>
      <c r="FJ82" t="e">
        <f>AND(#REF!,"AAAAAH+90qU=")</f>
        <v>#REF!</v>
      </c>
      <c r="FK82" t="e">
        <f>AND(#REF!,"AAAAAH+90qY=")</f>
        <v>#REF!</v>
      </c>
      <c r="FL82" t="e">
        <f>AND(#REF!,"AAAAAH+90qc=")</f>
        <v>#REF!</v>
      </c>
      <c r="FM82" t="e">
        <f>AND(#REF!,"AAAAAH+90qg=")</f>
        <v>#REF!</v>
      </c>
      <c r="FN82" t="e">
        <f>AND(#REF!,"AAAAAH+90qk=")</f>
        <v>#REF!</v>
      </c>
      <c r="FO82" t="e">
        <f>AND(#REF!,"AAAAAH+90qo=")</f>
        <v>#REF!</v>
      </c>
      <c r="FP82" t="e">
        <f>AND(#REF!,"AAAAAH+90qs=")</f>
        <v>#REF!</v>
      </c>
      <c r="FQ82" t="e">
        <f>AND(#REF!,"AAAAAH+90qw=")</f>
        <v>#REF!</v>
      </c>
      <c r="FR82" t="e">
        <f>AND(#REF!,"AAAAAH+90q0=")</f>
        <v>#REF!</v>
      </c>
      <c r="FS82" t="e">
        <f>AND(#REF!,"AAAAAH+90q4=")</f>
        <v>#REF!</v>
      </c>
      <c r="FT82" t="e">
        <f>IF(#REF!,"AAAAAH+90q8=",0)</f>
        <v>#REF!</v>
      </c>
      <c r="FU82" t="e">
        <f>AND(#REF!,"AAAAAH+90rA=")</f>
        <v>#REF!</v>
      </c>
      <c r="FV82" t="e">
        <f>AND(#REF!,"AAAAAH+90rE=")</f>
        <v>#REF!</v>
      </c>
      <c r="FW82" t="e">
        <f>AND(#REF!,"AAAAAH+90rI=")</f>
        <v>#REF!</v>
      </c>
      <c r="FX82" t="e">
        <f>AND(#REF!,"AAAAAH+90rM=")</f>
        <v>#REF!</v>
      </c>
      <c r="FY82" t="e">
        <f>AND(#REF!,"AAAAAH+90rQ=")</f>
        <v>#REF!</v>
      </c>
      <c r="FZ82" t="e">
        <f>AND(#REF!,"AAAAAH+90rU=")</f>
        <v>#REF!</v>
      </c>
      <c r="GA82" t="e">
        <f>AND(#REF!,"AAAAAH+90rY=")</f>
        <v>#REF!</v>
      </c>
      <c r="GB82" t="e">
        <f>AND(#REF!,"AAAAAH+90rc=")</f>
        <v>#REF!</v>
      </c>
      <c r="GC82" t="e">
        <f>AND(#REF!,"AAAAAH+90rg=")</f>
        <v>#REF!</v>
      </c>
      <c r="GD82" t="e">
        <f>AND(#REF!,"AAAAAH+90rk=")</f>
        <v>#REF!</v>
      </c>
      <c r="GE82" t="e">
        <f>AND(#REF!,"AAAAAH+90ro=")</f>
        <v>#REF!</v>
      </c>
      <c r="GF82" t="e">
        <f>AND(#REF!,"AAAAAH+90rs=")</f>
        <v>#REF!</v>
      </c>
      <c r="GG82" t="e">
        <f>AND(#REF!,"AAAAAH+90rw=")</f>
        <v>#REF!</v>
      </c>
      <c r="GH82" t="e">
        <f>AND(#REF!,"AAAAAH+90r0=")</f>
        <v>#REF!</v>
      </c>
      <c r="GI82" t="e">
        <f>AND(#REF!,"AAAAAH+90r4=")</f>
        <v>#REF!</v>
      </c>
      <c r="GJ82" t="e">
        <f>AND(#REF!,"AAAAAH+90r8=")</f>
        <v>#REF!</v>
      </c>
      <c r="GK82" t="e">
        <f>AND(#REF!,"AAAAAH+90sA=")</f>
        <v>#REF!</v>
      </c>
      <c r="GL82" t="e">
        <f>AND(#REF!,"AAAAAH+90sE=")</f>
        <v>#REF!</v>
      </c>
      <c r="GM82" t="e">
        <f>AND(#REF!,"AAAAAH+90sI=")</f>
        <v>#REF!</v>
      </c>
      <c r="GN82" t="e">
        <f>AND(#REF!,"AAAAAH+90sM=")</f>
        <v>#REF!</v>
      </c>
      <c r="GO82" t="e">
        <f>AND(#REF!,"AAAAAH+90sQ=")</f>
        <v>#REF!</v>
      </c>
      <c r="GP82" t="e">
        <f>AND(#REF!,"AAAAAH+90sU=")</f>
        <v>#REF!</v>
      </c>
      <c r="GQ82" t="e">
        <f>AND(#REF!,"AAAAAH+90sY=")</f>
        <v>#REF!</v>
      </c>
      <c r="GR82" t="e">
        <f>AND(#REF!,"AAAAAH+90sc=")</f>
        <v>#REF!</v>
      </c>
      <c r="GS82" t="e">
        <f>AND(#REF!,"AAAAAH+90sg=")</f>
        <v>#REF!</v>
      </c>
      <c r="GT82" t="e">
        <f>AND(#REF!,"AAAAAH+90sk=")</f>
        <v>#REF!</v>
      </c>
      <c r="GU82" t="e">
        <f>IF(#REF!,"AAAAAH+90so=",0)</f>
        <v>#REF!</v>
      </c>
      <c r="GV82" t="e">
        <f>AND(#REF!,"AAAAAH+90ss=")</f>
        <v>#REF!</v>
      </c>
      <c r="GW82" t="e">
        <f>AND(#REF!,"AAAAAH+90sw=")</f>
        <v>#REF!</v>
      </c>
      <c r="GX82" t="e">
        <f>AND(#REF!,"AAAAAH+90s0=")</f>
        <v>#REF!</v>
      </c>
      <c r="GY82" t="e">
        <f>AND(#REF!,"AAAAAH+90s4=")</f>
        <v>#REF!</v>
      </c>
      <c r="GZ82" t="e">
        <f>AND(#REF!,"AAAAAH+90s8=")</f>
        <v>#REF!</v>
      </c>
      <c r="HA82" t="e">
        <f>AND(#REF!,"AAAAAH+90tA=")</f>
        <v>#REF!</v>
      </c>
      <c r="HB82" t="e">
        <f>AND(#REF!,"AAAAAH+90tE=")</f>
        <v>#REF!</v>
      </c>
      <c r="HC82" t="e">
        <f>AND(#REF!,"AAAAAH+90tI=")</f>
        <v>#REF!</v>
      </c>
      <c r="HD82" t="e">
        <f>AND(#REF!,"AAAAAH+90tM=")</f>
        <v>#REF!</v>
      </c>
      <c r="HE82" t="e">
        <f>AND(#REF!,"AAAAAH+90tQ=")</f>
        <v>#REF!</v>
      </c>
      <c r="HF82" t="e">
        <f>AND(#REF!,"AAAAAH+90tU=")</f>
        <v>#REF!</v>
      </c>
      <c r="HG82" t="e">
        <f>AND(#REF!,"AAAAAH+90tY=")</f>
        <v>#REF!</v>
      </c>
      <c r="HH82" t="e">
        <f>AND(#REF!,"AAAAAH+90tc=")</f>
        <v>#REF!</v>
      </c>
      <c r="HI82" t="e">
        <f>AND(#REF!,"AAAAAH+90tg=")</f>
        <v>#REF!</v>
      </c>
      <c r="HJ82" t="e">
        <f>AND(#REF!,"AAAAAH+90tk=")</f>
        <v>#REF!</v>
      </c>
      <c r="HK82" t="e">
        <f>AND(#REF!,"AAAAAH+90to=")</f>
        <v>#REF!</v>
      </c>
      <c r="HL82" t="e">
        <f>AND(#REF!,"AAAAAH+90ts=")</f>
        <v>#REF!</v>
      </c>
      <c r="HM82" t="e">
        <f>AND(#REF!,"AAAAAH+90tw=")</f>
        <v>#REF!</v>
      </c>
      <c r="HN82" t="e">
        <f>AND(#REF!,"AAAAAH+90t0=")</f>
        <v>#REF!</v>
      </c>
      <c r="HO82" t="e">
        <f>AND(#REF!,"AAAAAH+90t4=")</f>
        <v>#REF!</v>
      </c>
      <c r="HP82" t="e">
        <f>AND(#REF!,"AAAAAH+90t8=")</f>
        <v>#REF!</v>
      </c>
      <c r="HQ82" t="e">
        <f>AND(#REF!,"AAAAAH+90uA=")</f>
        <v>#REF!</v>
      </c>
      <c r="HR82" t="e">
        <f>AND(#REF!,"AAAAAH+90uE=")</f>
        <v>#REF!</v>
      </c>
      <c r="HS82" t="e">
        <f>AND(#REF!,"AAAAAH+90uI=")</f>
        <v>#REF!</v>
      </c>
      <c r="HT82" t="e">
        <f>AND(#REF!,"AAAAAH+90uM=")</f>
        <v>#REF!</v>
      </c>
      <c r="HU82" t="e">
        <f>AND(#REF!,"AAAAAH+90uQ=")</f>
        <v>#REF!</v>
      </c>
      <c r="HV82" t="e">
        <f>IF(#REF!,"AAAAAH+90uU=",0)</f>
        <v>#REF!</v>
      </c>
      <c r="HW82" t="e">
        <f>AND(#REF!,"AAAAAH+90uY=")</f>
        <v>#REF!</v>
      </c>
      <c r="HX82" t="e">
        <f>AND(#REF!,"AAAAAH+90uc=")</f>
        <v>#REF!</v>
      </c>
      <c r="HY82" t="e">
        <f>AND(#REF!,"AAAAAH+90ug=")</f>
        <v>#REF!</v>
      </c>
      <c r="HZ82" t="e">
        <f>AND(#REF!,"AAAAAH+90uk=")</f>
        <v>#REF!</v>
      </c>
      <c r="IA82" t="e">
        <f>AND(#REF!,"AAAAAH+90uo=")</f>
        <v>#REF!</v>
      </c>
      <c r="IB82" t="e">
        <f>AND(#REF!,"AAAAAH+90us=")</f>
        <v>#REF!</v>
      </c>
      <c r="IC82" t="e">
        <f>AND(#REF!,"AAAAAH+90uw=")</f>
        <v>#REF!</v>
      </c>
      <c r="ID82" t="e">
        <f>AND(#REF!,"AAAAAH+90u0=")</f>
        <v>#REF!</v>
      </c>
      <c r="IE82" t="e">
        <f>AND(#REF!,"AAAAAH+90u4=")</f>
        <v>#REF!</v>
      </c>
      <c r="IF82" t="e">
        <f>AND(#REF!,"AAAAAH+90u8=")</f>
        <v>#REF!</v>
      </c>
      <c r="IG82" t="e">
        <f>AND(#REF!,"AAAAAH+90vA=")</f>
        <v>#REF!</v>
      </c>
      <c r="IH82" t="e">
        <f>AND(#REF!,"AAAAAH+90vE=")</f>
        <v>#REF!</v>
      </c>
      <c r="II82" t="e">
        <f>AND(#REF!,"AAAAAH+90vI=")</f>
        <v>#REF!</v>
      </c>
      <c r="IJ82" t="e">
        <f>AND(#REF!,"AAAAAH+90vM=")</f>
        <v>#REF!</v>
      </c>
      <c r="IK82" t="e">
        <f>AND(#REF!,"AAAAAH+90vQ=")</f>
        <v>#REF!</v>
      </c>
      <c r="IL82" t="e">
        <f>AND(#REF!,"AAAAAH+90vU=")</f>
        <v>#REF!</v>
      </c>
      <c r="IM82" t="e">
        <f>AND(#REF!,"AAAAAH+90vY=")</f>
        <v>#REF!</v>
      </c>
      <c r="IN82" t="e">
        <f>AND(#REF!,"AAAAAH+90vc=")</f>
        <v>#REF!</v>
      </c>
      <c r="IO82" t="e">
        <f>AND(#REF!,"AAAAAH+90vg=")</f>
        <v>#REF!</v>
      </c>
      <c r="IP82" t="e">
        <f>AND(#REF!,"AAAAAH+90vk=")</f>
        <v>#REF!</v>
      </c>
      <c r="IQ82" t="e">
        <f>AND(#REF!,"AAAAAH+90vo=")</f>
        <v>#REF!</v>
      </c>
      <c r="IR82" t="e">
        <f>AND(#REF!,"AAAAAH+90vs=")</f>
        <v>#REF!</v>
      </c>
      <c r="IS82" t="e">
        <f>AND(#REF!,"AAAAAH+90vw=")</f>
        <v>#REF!</v>
      </c>
      <c r="IT82" t="e">
        <f>AND(#REF!,"AAAAAH+90v0=")</f>
        <v>#REF!</v>
      </c>
      <c r="IU82" t="e">
        <f>AND(#REF!,"AAAAAH+90v4=")</f>
        <v>#REF!</v>
      </c>
      <c r="IV82" t="e">
        <f>AND(#REF!,"AAAAAH+90v8=")</f>
        <v>#REF!</v>
      </c>
    </row>
    <row r="83" spans="1:256" x14ac:dyDescent="0.2">
      <c r="A83" t="e">
        <f>IF(#REF!,"AAAAAH/3/wA=",0)</f>
        <v>#REF!</v>
      </c>
      <c r="B83" t="e">
        <f>AND(#REF!,"AAAAAH/3/wE=")</f>
        <v>#REF!</v>
      </c>
      <c r="C83" t="e">
        <f>AND(#REF!,"AAAAAH/3/wI=")</f>
        <v>#REF!</v>
      </c>
      <c r="D83" t="e">
        <f>AND(#REF!,"AAAAAH/3/wM=")</f>
        <v>#REF!</v>
      </c>
      <c r="E83" t="e">
        <f>AND(#REF!,"AAAAAH/3/wQ=")</f>
        <v>#REF!</v>
      </c>
      <c r="F83" t="e">
        <f>AND(#REF!,"AAAAAH/3/wU=")</f>
        <v>#REF!</v>
      </c>
      <c r="G83" t="e">
        <f>AND(#REF!,"AAAAAH/3/wY=")</f>
        <v>#REF!</v>
      </c>
      <c r="H83" t="e">
        <f>AND(#REF!,"AAAAAH/3/wc=")</f>
        <v>#REF!</v>
      </c>
      <c r="I83" t="e">
        <f>AND(#REF!,"AAAAAH/3/wg=")</f>
        <v>#REF!</v>
      </c>
      <c r="J83" t="e">
        <f>AND(#REF!,"AAAAAH/3/wk=")</f>
        <v>#REF!</v>
      </c>
      <c r="K83" t="e">
        <f>AND(#REF!,"AAAAAH/3/wo=")</f>
        <v>#REF!</v>
      </c>
      <c r="L83" t="e">
        <f>AND(#REF!,"AAAAAH/3/ws=")</f>
        <v>#REF!</v>
      </c>
      <c r="M83" t="e">
        <f>AND(#REF!,"AAAAAH/3/ww=")</f>
        <v>#REF!</v>
      </c>
      <c r="N83" t="e">
        <f>AND(#REF!,"AAAAAH/3/w0=")</f>
        <v>#REF!</v>
      </c>
      <c r="O83" t="e">
        <f>AND(#REF!,"AAAAAH/3/w4=")</f>
        <v>#REF!</v>
      </c>
      <c r="P83" t="e">
        <f>AND(#REF!,"AAAAAH/3/w8=")</f>
        <v>#REF!</v>
      </c>
      <c r="Q83" t="e">
        <f>AND(#REF!,"AAAAAH/3/xA=")</f>
        <v>#REF!</v>
      </c>
      <c r="R83" t="e">
        <f>AND(#REF!,"AAAAAH/3/xE=")</f>
        <v>#REF!</v>
      </c>
      <c r="S83" t="e">
        <f>AND(#REF!,"AAAAAH/3/xI=")</f>
        <v>#REF!</v>
      </c>
      <c r="T83" t="e">
        <f>AND(#REF!,"AAAAAH/3/xM=")</f>
        <v>#REF!</v>
      </c>
      <c r="U83" t="e">
        <f>AND(#REF!,"AAAAAH/3/xQ=")</f>
        <v>#REF!</v>
      </c>
      <c r="V83" t="e">
        <f>AND(#REF!,"AAAAAH/3/xU=")</f>
        <v>#REF!</v>
      </c>
      <c r="W83" t="e">
        <f>AND(#REF!,"AAAAAH/3/xY=")</f>
        <v>#REF!</v>
      </c>
      <c r="X83" t="e">
        <f>AND(#REF!,"AAAAAH/3/xc=")</f>
        <v>#REF!</v>
      </c>
      <c r="Y83" t="e">
        <f>AND(#REF!,"AAAAAH/3/xg=")</f>
        <v>#REF!</v>
      </c>
      <c r="Z83" t="e">
        <f>AND(#REF!,"AAAAAH/3/xk=")</f>
        <v>#REF!</v>
      </c>
      <c r="AA83" t="e">
        <f>AND(#REF!,"AAAAAH/3/xo=")</f>
        <v>#REF!</v>
      </c>
      <c r="AB83" t="e">
        <f>IF(#REF!,"AAAAAH/3/xs=",0)</f>
        <v>#REF!</v>
      </c>
      <c r="AC83" t="e">
        <f>IF(#REF!,"AAAAAH/3/xw=",0)</f>
        <v>#REF!</v>
      </c>
      <c r="AD83" t="e">
        <f>IF(#REF!,"AAAAAH/3/x0=",0)</f>
        <v>#REF!</v>
      </c>
      <c r="AE83" t="e">
        <f>IF(#REF!,"AAAAAH/3/x4=",0)</f>
        <v>#REF!</v>
      </c>
      <c r="AF83" t="e">
        <f>IF(#REF!,"AAAAAH/3/x8=",0)</f>
        <v>#REF!</v>
      </c>
      <c r="AG83" t="e">
        <f>IF(#REF!,"AAAAAH/3/yA=",0)</f>
        <v>#REF!</v>
      </c>
      <c r="AH83" t="e">
        <f>IF(#REF!,"AAAAAH/3/yE=",0)</f>
        <v>#REF!</v>
      </c>
      <c r="AI83" t="e">
        <f>IF(#REF!,"AAAAAH/3/yI=",0)</f>
        <v>#REF!</v>
      </c>
      <c r="AJ83" t="e">
        <f>IF(#REF!,"AAAAAH/3/yM=",0)</f>
        <v>#REF!</v>
      </c>
      <c r="AK83" t="e">
        <f>IF(#REF!,"AAAAAH/3/yQ=",0)</f>
        <v>#REF!</v>
      </c>
      <c r="AL83" t="e">
        <f>IF(#REF!,"AAAAAH/3/yU=",0)</f>
        <v>#REF!</v>
      </c>
      <c r="AM83" t="e">
        <f>IF(#REF!,"AAAAAH/3/yY=",0)</f>
        <v>#REF!</v>
      </c>
      <c r="AN83" t="e">
        <f>IF(#REF!,"AAAAAH/3/yc=",0)</f>
        <v>#REF!</v>
      </c>
      <c r="AO83" t="e">
        <f>IF(#REF!,"AAAAAH/3/yg=",0)</f>
        <v>#REF!</v>
      </c>
      <c r="AP83" t="e">
        <f>IF(#REF!,"AAAAAH/3/yk=",0)</f>
        <v>#REF!</v>
      </c>
      <c r="AQ83" t="e">
        <f>IF(#REF!,"AAAAAH/3/yo=",0)</f>
        <v>#REF!</v>
      </c>
      <c r="AR83" t="e">
        <f>IF(#REF!,"AAAAAH/3/ys=",0)</f>
        <v>#REF!</v>
      </c>
      <c r="AS83" t="e">
        <f>IF(#REF!,"AAAAAH/3/yw=",0)</f>
        <v>#REF!</v>
      </c>
      <c r="AT83" t="e">
        <f>IF(#REF!,"AAAAAH/3/y0=",0)</f>
        <v>#REF!</v>
      </c>
      <c r="AU83" t="e">
        <f>IF(#REF!,"AAAAAH/3/y4=",0)</f>
        <v>#REF!</v>
      </c>
      <c r="AV83" t="e">
        <f>IF(#REF!,"AAAAAH/3/y8=",0)</f>
        <v>#REF!</v>
      </c>
      <c r="AW83" t="e">
        <f>IF(#REF!,"AAAAAH/3/zA=",0)</f>
        <v>#REF!</v>
      </c>
      <c r="AX83" t="e">
        <f>IF(#REF!,"AAAAAH/3/zE=",0)</f>
        <v>#REF!</v>
      </c>
      <c r="AY83" t="e">
        <f>IF(#REF!,"AAAAAH/3/zI=",0)</f>
        <v>#REF!</v>
      </c>
      <c r="AZ83" t="e">
        <f>IF(#REF!,"AAAAAH/3/zM=",0)</f>
        <v>#REF!</v>
      </c>
      <c r="BA83" t="e">
        <f>IF(#REF!,"AAAAAH/3/zQ=",0)</f>
        <v>#REF!</v>
      </c>
      <c r="BB83" t="e">
        <f>IF(#REF!,"AAAAAH/3/zU=",0)</f>
        <v>#REF!</v>
      </c>
      <c r="BC83" t="e">
        <f>AND(#REF!,"AAAAAH/3/zY=")</f>
        <v>#REF!</v>
      </c>
      <c r="BD83" t="e">
        <f>AND(#REF!,"AAAAAH/3/zc=")</f>
        <v>#REF!</v>
      </c>
      <c r="BE83" t="e">
        <f>AND(#REF!,"AAAAAH/3/zg=")</f>
        <v>#REF!</v>
      </c>
      <c r="BF83" t="e">
        <f>AND(#REF!,"AAAAAH/3/zk=")</f>
        <v>#REF!</v>
      </c>
      <c r="BG83" t="e">
        <f>AND(#REF!,"AAAAAH/3/zo=")</f>
        <v>#REF!</v>
      </c>
      <c r="BH83" t="e">
        <f>AND(#REF!,"AAAAAH/3/zs=")</f>
        <v>#REF!</v>
      </c>
      <c r="BI83" t="e">
        <f>AND(#REF!,"AAAAAH/3/zw=")</f>
        <v>#REF!</v>
      </c>
      <c r="BJ83" t="e">
        <f>AND(#REF!,"AAAAAH/3/z0=")</f>
        <v>#REF!</v>
      </c>
      <c r="BK83" t="e">
        <f>AND(#REF!,"AAAAAH/3/z4=")</f>
        <v>#REF!</v>
      </c>
      <c r="BL83" t="e">
        <f>AND(#REF!,"AAAAAH/3/z8=")</f>
        <v>#REF!</v>
      </c>
      <c r="BM83" t="e">
        <f>AND(#REF!,"AAAAAH/3/0A=")</f>
        <v>#REF!</v>
      </c>
      <c r="BN83" t="e">
        <f>AND(#REF!,"AAAAAH/3/0E=")</f>
        <v>#REF!</v>
      </c>
      <c r="BO83" t="e">
        <f>AND(#REF!,"AAAAAH/3/0I=")</f>
        <v>#REF!</v>
      </c>
      <c r="BP83" t="e">
        <f>AND(#REF!,"AAAAAH/3/0M=")</f>
        <v>#REF!</v>
      </c>
      <c r="BQ83" t="e">
        <f>AND(#REF!,"AAAAAH/3/0Q=")</f>
        <v>#REF!</v>
      </c>
      <c r="BR83" t="e">
        <f>AND(#REF!,"AAAAAH/3/0U=")</f>
        <v>#REF!</v>
      </c>
      <c r="BS83" t="e">
        <f>AND(#REF!,"AAAAAH/3/0Y=")</f>
        <v>#REF!</v>
      </c>
      <c r="BT83" t="e">
        <f>AND(#REF!,"AAAAAH/3/0c=")</f>
        <v>#REF!</v>
      </c>
      <c r="BU83" t="e">
        <f>AND(#REF!,"AAAAAH/3/0g=")</f>
        <v>#REF!</v>
      </c>
      <c r="BV83" t="e">
        <f>AND(#REF!,"AAAAAH/3/0k=")</f>
        <v>#REF!</v>
      </c>
      <c r="BW83" t="e">
        <f>AND(#REF!,"AAAAAH/3/0o=")</f>
        <v>#REF!</v>
      </c>
      <c r="BX83" t="e">
        <f>AND(#REF!,"AAAAAH/3/0s=")</f>
        <v>#REF!</v>
      </c>
      <c r="BY83" t="e">
        <f>AND(#REF!,"AAAAAH/3/0w=")</f>
        <v>#REF!</v>
      </c>
      <c r="BZ83" t="e">
        <f>AND(#REF!,"AAAAAH/3/00=")</f>
        <v>#REF!</v>
      </c>
      <c r="CA83" t="e">
        <f>AND(#REF!,"AAAAAH/3/04=")</f>
        <v>#REF!</v>
      </c>
      <c r="CB83" t="e">
        <f>AND(#REF!,"AAAAAH/3/08=")</f>
        <v>#REF!</v>
      </c>
      <c r="CC83" t="e">
        <f>IF(#REF!,"AAAAAH/3/1A=",0)</f>
        <v>#REF!</v>
      </c>
      <c r="CD83" t="e">
        <f>AND(#REF!,"AAAAAH/3/1E=")</f>
        <v>#REF!</v>
      </c>
      <c r="CE83" t="e">
        <f>AND(#REF!,"AAAAAH/3/1I=")</f>
        <v>#REF!</v>
      </c>
      <c r="CF83" t="e">
        <f>AND(#REF!,"AAAAAH/3/1M=")</f>
        <v>#REF!</v>
      </c>
      <c r="CG83" t="e">
        <f>AND(#REF!,"AAAAAH/3/1Q=")</f>
        <v>#REF!</v>
      </c>
      <c r="CH83" t="e">
        <f>AND(#REF!,"AAAAAH/3/1U=")</f>
        <v>#REF!</v>
      </c>
      <c r="CI83" t="e">
        <f>AND(#REF!,"AAAAAH/3/1Y=")</f>
        <v>#REF!</v>
      </c>
      <c r="CJ83" t="e">
        <f>AND(#REF!,"AAAAAH/3/1c=")</f>
        <v>#REF!</v>
      </c>
      <c r="CK83" t="e">
        <f>AND(#REF!,"AAAAAH/3/1g=")</f>
        <v>#REF!</v>
      </c>
      <c r="CL83" t="e">
        <f>AND(#REF!,"AAAAAH/3/1k=")</f>
        <v>#REF!</v>
      </c>
      <c r="CM83" t="e">
        <f>AND(#REF!,"AAAAAH/3/1o=")</f>
        <v>#REF!</v>
      </c>
      <c r="CN83" t="e">
        <f>AND(#REF!,"AAAAAH/3/1s=")</f>
        <v>#REF!</v>
      </c>
      <c r="CO83" t="e">
        <f>AND(#REF!,"AAAAAH/3/1w=")</f>
        <v>#REF!</v>
      </c>
      <c r="CP83" t="e">
        <f>AND(#REF!,"AAAAAH/3/10=")</f>
        <v>#REF!</v>
      </c>
      <c r="CQ83" t="e">
        <f>AND(#REF!,"AAAAAH/3/14=")</f>
        <v>#REF!</v>
      </c>
      <c r="CR83" t="e">
        <f>AND(#REF!,"AAAAAH/3/18=")</f>
        <v>#REF!</v>
      </c>
      <c r="CS83" t="e">
        <f>AND(#REF!,"AAAAAH/3/2A=")</f>
        <v>#REF!</v>
      </c>
      <c r="CT83" t="e">
        <f>AND(#REF!,"AAAAAH/3/2E=")</f>
        <v>#REF!</v>
      </c>
      <c r="CU83" t="e">
        <f>AND(#REF!,"AAAAAH/3/2I=")</f>
        <v>#REF!</v>
      </c>
      <c r="CV83" t="e">
        <f>AND(#REF!,"AAAAAH/3/2M=")</f>
        <v>#REF!</v>
      </c>
      <c r="CW83" t="e">
        <f>AND(#REF!,"AAAAAH/3/2Q=")</f>
        <v>#REF!</v>
      </c>
      <c r="CX83" t="e">
        <f>AND(#REF!,"AAAAAH/3/2U=")</f>
        <v>#REF!</v>
      </c>
      <c r="CY83" t="e">
        <f>AND(#REF!,"AAAAAH/3/2Y=")</f>
        <v>#REF!</v>
      </c>
      <c r="CZ83" t="e">
        <f>AND(#REF!,"AAAAAH/3/2c=")</f>
        <v>#REF!</v>
      </c>
      <c r="DA83" t="e">
        <f>AND(#REF!,"AAAAAH/3/2g=")</f>
        <v>#REF!</v>
      </c>
      <c r="DB83" t="e">
        <f>AND(#REF!,"AAAAAH/3/2k=")</f>
        <v>#REF!</v>
      </c>
      <c r="DC83" t="e">
        <f>AND(#REF!,"AAAAAH/3/2o=")</f>
        <v>#REF!</v>
      </c>
      <c r="DD83" t="e">
        <f>IF(#REF!,"AAAAAH/3/2s=",0)</f>
        <v>#REF!</v>
      </c>
      <c r="DE83" t="e">
        <f>AND(#REF!,"AAAAAH/3/2w=")</f>
        <v>#REF!</v>
      </c>
      <c r="DF83" t="e">
        <f>AND(#REF!,"AAAAAH/3/20=")</f>
        <v>#REF!</v>
      </c>
      <c r="DG83" t="e">
        <f>AND(#REF!,"AAAAAH/3/24=")</f>
        <v>#REF!</v>
      </c>
      <c r="DH83" t="e">
        <f>AND(#REF!,"AAAAAH/3/28=")</f>
        <v>#REF!</v>
      </c>
      <c r="DI83" t="e">
        <f>AND(#REF!,"AAAAAH/3/3A=")</f>
        <v>#REF!</v>
      </c>
      <c r="DJ83" t="e">
        <f>AND(#REF!,"AAAAAH/3/3E=")</f>
        <v>#REF!</v>
      </c>
      <c r="DK83" t="e">
        <f>AND(#REF!,"AAAAAH/3/3I=")</f>
        <v>#REF!</v>
      </c>
      <c r="DL83" t="e">
        <f>AND(#REF!,"AAAAAH/3/3M=")</f>
        <v>#REF!</v>
      </c>
      <c r="DM83" t="e">
        <f>AND(#REF!,"AAAAAH/3/3Q=")</f>
        <v>#REF!</v>
      </c>
      <c r="DN83" t="e">
        <f>AND(#REF!,"AAAAAH/3/3U=")</f>
        <v>#REF!</v>
      </c>
      <c r="DO83" t="e">
        <f>AND(#REF!,"AAAAAH/3/3Y=")</f>
        <v>#REF!</v>
      </c>
      <c r="DP83" t="e">
        <f>AND(#REF!,"AAAAAH/3/3c=")</f>
        <v>#REF!</v>
      </c>
      <c r="DQ83" t="e">
        <f>AND(#REF!,"AAAAAH/3/3g=")</f>
        <v>#REF!</v>
      </c>
      <c r="DR83" t="e">
        <f>AND(#REF!,"AAAAAH/3/3k=")</f>
        <v>#REF!</v>
      </c>
      <c r="DS83" t="e">
        <f>AND(#REF!,"AAAAAH/3/3o=")</f>
        <v>#REF!</v>
      </c>
      <c r="DT83" t="e">
        <f>AND(#REF!,"AAAAAH/3/3s=")</f>
        <v>#REF!</v>
      </c>
      <c r="DU83" t="e">
        <f>AND(#REF!,"AAAAAH/3/3w=")</f>
        <v>#REF!</v>
      </c>
      <c r="DV83" t="e">
        <f>AND(#REF!,"AAAAAH/3/30=")</f>
        <v>#REF!</v>
      </c>
      <c r="DW83" t="e">
        <f>AND(#REF!,"AAAAAH/3/34=")</f>
        <v>#REF!</v>
      </c>
      <c r="DX83" t="e">
        <f>AND(#REF!,"AAAAAH/3/38=")</f>
        <v>#REF!</v>
      </c>
      <c r="DY83" t="e">
        <f>AND(#REF!,"AAAAAH/3/4A=")</f>
        <v>#REF!</v>
      </c>
      <c r="DZ83" t="e">
        <f>AND(#REF!,"AAAAAH/3/4E=")</f>
        <v>#REF!</v>
      </c>
      <c r="EA83" t="e">
        <f>AND(#REF!,"AAAAAH/3/4I=")</f>
        <v>#REF!</v>
      </c>
      <c r="EB83" t="e">
        <f>AND(#REF!,"AAAAAH/3/4M=")</f>
        <v>#REF!</v>
      </c>
      <c r="EC83" t="e">
        <f>AND(#REF!,"AAAAAH/3/4Q=")</f>
        <v>#REF!</v>
      </c>
      <c r="ED83" t="e">
        <f>AND(#REF!,"AAAAAH/3/4U=")</f>
        <v>#REF!</v>
      </c>
      <c r="EE83" t="e">
        <f>IF(#REF!,"AAAAAH/3/4Y=",0)</f>
        <v>#REF!</v>
      </c>
      <c r="EF83" t="e">
        <f>AND(#REF!,"AAAAAH/3/4c=")</f>
        <v>#REF!</v>
      </c>
      <c r="EG83" t="e">
        <f>AND(#REF!,"AAAAAH/3/4g=")</f>
        <v>#REF!</v>
      </c>
      <c r="EH83" t="e">
        <f>AND(#REF!,"AAAAAH/3/4k=")</f>
        <v>#REF!</v>
      </c>
      <c r="EI83" t="e">
        <f>AND(#REF!,"AAAAAH/3/4o=")</f>
        <v>#REF!</v>
      </c>
      <c r="EJ83" t="e">
        <f>AND(#REF!,"AAAAAH/3/4s=")</f>
        <v>#REF!</v>
      </c>
      <c r="EK83" t="e">
        <f>AND(#REF!,"AAAAAH/3/4w=")</f>
        <v>#REF!</v>
      </c>
      <c r="EL83" t="e">
        <f>AND(#REF!,"AAAAAH/3/40=")</f>
        <v>#REF!</v>
      </c>
      <c r="EM83" t="e">
        <f>AND(#REF!,"AAAAAH/3/44=")</f>
        <v>#REF!</v>
      </c>
      <c r="EN83" t="e">
        <f>AND(#REF!,"AAAAAH/3/48=")</f>
        <v>#REF!</v>
      </c>
      <c r="EO83" t="e">
        <f>AND(#REF!,"AAAAAH/3/5A=")</f>
        <v>#REF!</v>
      </c>
      <c r="EP83" t="e">
        <f>AND(#REF!,"AAAAAH/3/5E=")</f>
        <v>#REF!</v>
      </c>
      <c r="EQ83" t="e">
        <f>AND(#REF!,"AAAAAH/3/5I=")</f>
        <v>#REF!</v>
      </c>
      <c r="ER83" t="e">
        <f>AND(#REF!,"AAAAAH/3/5M=")</f>
        <v>#REF!</v>
      </c>
      <c r="ES83" t="e">
        <f>AND(#REF!,"AAAAAH/3/5Q=")</f>
        <v>#REF!</v>
      </c>
      <c r="ET83" t="e">
        <f>AND(#REF!,"AAAAAH/3/5U=")</f>
        <v>#REF!</v>
      </c>
      <c r="EU83" t="e">
        <f>AND(#REF!,"AAAAAH/3/5Y=")</f>
        <v>#REF!</v>
      </c>
      <c r="EV83" t="e">
        <f>AND(#REF!,"AAAAAH/3/5c=")</f>
        <v>#REF!</v>
      </c>
      <c r="EW83" t="e">
        <f>AND(#REF!,"AAAAAH/3/5g=")</f>
        <v>#REF!</v>
      </c>
      <c r="EX83" t="e">
        <f>AND(#REF!,"AAAAAH/3/5k=")</f>
        <v>#REF!</v>
      </c>
      <c r="EY83" t="e">
        <f>AND(#REF!,"AAAAAH/3/5o=")</f>
        <v>#REF!</v>
      </c>
      <c r="EZ83" t="e">
        <f>AND(#REF!,"AAAAAH/3/5s=")</f>
        <v>#REF!</v>
      </c>
      <c r="FA83" t="e">
        <f>AND(#REF!,"AAAAAH/3/5w=")</f>
        <v>#REF!</v>
      </c>
      <c r="FB83" t="e">
        <f>AND(#REF!,"AAAAAH/3/50=")</f>
        <v>#REF!</v>
      </c>
      <c r="FC83" t="e">
        <f>AND(#REF!,"AAAAAH/3/54=")</f>
        <v>#REF!</v>
      </c>
      <c r="FD83" t="e">
        <f>AND(#REF!,"AAAAAH/3/58=")</f>
        <v>#REF!</v>
      </c>
      <c r="FE83" t="e">
        <f>AND(#REF!,"AAAAAH/3/6A=")</f>
        <v>#REF!</v>
      </c>
      <c r="FF83" t="e">
        <f>IF(#REF!,"AAAAAH/3/6E=",0)</f>
        <v>#REF!</v>
      </c>
      <c r="FG83" t="e">
        <f>AND(#REF!,"AAAAAH/3/6I=")</f>
        <v>#REF!</v>
      </c>
      <c r="FH83" t="e">
        <f>AND(#REF!,"AAAAAH/3/6M=")</f>
        <v>#REF!</v>
      </c>
      <c r="FI83" t="e">
        <f>AND(#REF!,"AAAAAH/3/6Q=")</f>
        <v>#REF!</v>
      </c>
      <c r="FJ83" t="e">
        <f>AND(#REF!,"AAAAAH/3/6U=")</f>
        <v>#REF!</v>
      </c>
      <c r="FK83" t="e">
        <f>AND(#REF!,"AAAAAH/3/6Y=")</f>
        <v>#REF!</v>
      </c>
      <c r="FL83" t="e">
        <f>AND(#REF!,"AAAAAH/3/6c=")</f>
        <v>#REF!</v>
      </c>
      <c r="FM83" t="e">
        <f>AND(#REF!,"AAAAAH/3/6g=")</f>
        <v>#REF!</v>
      </c>
      <c r="FN83" t="e">
        <f>AND(#REF!,"AAAAAH/3/6k=")</f>
        <v>#REF!</v>
      </c>
      <c r="FO83" t="e">
        <f>AND(#REF!,"AAAAAH/3/6o=")</f>
        <v>#REF!</v>
      </c>
      <c r="FP83" t="e">
        <f>AND(#REF!,"AAAAAH/3/6s=")</f>
        <v>#REF!</v>
      </c>
      <c r="FQ83" t="e">
        <f>AND(#REF!,"AAAAAH/3/6w=")</f>
        <v>#REF!</v>
      </c>
      <c r="FR83" t="e">
        <f>AND(#REF!,"AAAAAH/3/60=")</f>
        <v>#REF!</v>
      </c>
      <c r="FS83" t="e">
        <f>AND(#REF!,"AAAAAH/3/64=")</f>
        <v>#REF!</v>
      </c>
      <c r="FT83" t="e">
        <f>AND(#REF!,"AAAAAH/3/68=")</f>
        <v>#REF!</v>
      </c>
      <c r="FU83" t="e">
        <f>AND(#REF!,"AAAAAH/3/7A=")</f>
        <v>#REF!</v>
      </c>
      <c r="FV83" t="e">
        <f>AND(#REF!,"AAAAAH/3/7E=")</f>
        <v>#REF!</v>
      </c>
      <c r="FW83" t="e">
        <f>AND(#REF!,"AAAAAH/3/7I=")</f>
        <v>#REF!</v>
      </c>
      <c r="FX83" t="e">
        <f>AND(#REF!,"AAAAAH/3/7M=")</f>
        <v>#REF!</v>
      </c>
      <c r="FY83" t="e">
        <f>AND(#REF!,"AAAAAH/3/7Q=")</f>
        <v>#REF!</v>
      </c>
      <c r="FZ83" t="e">
        <f>AND(#REF!,"AAAAAH/3/7U=")</f>
        <v>#REF!</v>
      </c>
      <c r="GA83" t="e">
        <f>AND(#REF!,"AAAAAH/3/7Y=")</f>
        <v>#REF!</v>
      </c>
      <c r="GB83" t="e">
        <f>AND(#REF!,"AAAAAH/3/7c=")</f>
        <v>#REF!</v>
      </c>
      <c r="GC83" t="e">
        <f>AND(#REF!,"AAAAAH/3/7g=")</f>
        <v>#REF!</v>
      </c>
      <c r="GD83" t="e">
        <f>AND(#REF!,"AAAAAH/3/7k=")</f>
        <v>#REF!</v>
      </c>
      <c r="GE83" t="e">
        <f>AND(#REF!,"AAAAAH/3/7o=")</f>
        <v>#REF!</v>
      </c>
      <c r="GF83" t="e">
        <f>AND(#REF!,"AAAAAH/3/7s=")</f>
        <v>#REF!</v>
      </c>
      <c r="GG83" t="e">
        <f>IF(#REF!,"AAAAAH/3/7w=",0)</f>
        <v>#REF!</v>
      </c>
      <c r="GH83" t="e">
        <f>AND(#REF!,"AAAAAH/3/70=")</f>
        <v>#REF!</v>
      </c>
      <c r="GI83" t="e">
        <f>AND(#REF!,"AAAAAH/3/74=")</f>
        <v>#REF!</v>
      </c>
      <c r="GJ83" t="e">
        <f>AND(#REF!,"AAAAAH/3/78=")</f>
        <v>#REF!</v>
      </c>
      <c r="GK83" t="e">
        <f>AND(#REF!,"AAAAAH/3/8A=")</f>
        <v>#REF!</v>
      </c>
      <c r="GL83" t="e">
        <f>AND(#REF!,"AAAAAH/3/8E=")</f>
        <v>#REF!</v>
      </c>
      <c r="GM83" t="e">
        <f>AND(#REF!,"AAAAAH/3/8I=")</f>
        <v>#REF!</v>
      </c>
      <c r="GN83" t="e">
        <f>AND(#REF!,"AAAAAH/3/8M=")</f>
        <v>#REF!</v>
      </c>
      <c r="GO83" t="e">
        <f>AND(#REF!,"AAAAAH/3/8Q=")</f>
        <v>#REF!</v>
      </c>
      <c r="GP83" t="e">
        <f>AND(#REF!,"AAAAAH/3/8U=")</f>
        <v>#REF!</v>
      </c>
      <c r="GQ83" t="e">
        <f>AND(#REF!,"AAAAAH/3/8Y=")</f>
        <v>#REF!</v>
      </c>
      <c r="GR83" t="e">
        <f>AND(#REF!,"AAAAAH/3/8c=")</f>
        <v>#REF!</v>
      </c>
      <c r="GS83" t="e">
        <f>AND(#REF!,"AAAAAH/3/8g=")</f>
        <v>#REF!</v>
      </c>
      <c r="GT83" t="e">
        <f>AND(#REF!,"AAAAAH/3/8k=")</f>
        <v>#REF!</v>
      </c>
      <c r="GU83" t="e">
        <f>AND(#REF!,"AAAAAH/3/8o=")</f>
        <v>#REF!</v>
      </c>
      <c r="GV83" t="e">
        <f>AND(#REF!,"AAAAAH/3/8s=")</f>
        <v>#REF!</v>
      </c>
      <c r="GW83" t="e">
        <f>AND(#REF!,"AAAAAH/3/8w=")</f>
        <v>#REF!</v>
      </c>
      <c r="GX83" t="e">
        <f>AND(#REF!,"AAAAAH/3/80=")</f>
        <v>#REF!</v>
      </c>
      <c r="GY83" t="e">
        <f>AND(#REF!,"AAAAAH/3/84=")</f>
        <v>#REF!</v>
      </c>
      <c r="GZ83" t="e">
        <f>AND(#REF!,"AAAAAH/3/88=")</f>
        <v>#REF!</v>
      </c>
      <c r="HA83" t="e">
        <f>AND(#REF!,"AAAAAH/3/9A=")</f>
        <v>#REF!</v>
      </c>
      <c r="HB83" t="e">
        <f>AND(#REF!,"AAAAAH/3/9E=")</f>
        <v>#REF!</v>
      </c>
      <c r="HC83" t="e">
        <f>AND(#REF!,"AAAAAH/3/9I=")</f>
        <v>#REF!</v>
      </c>
      <c r="HD83" t="e">
        <f>AND(#REF!,"AAAAAH/3/9M=")</f>
        <v>#REF!</v>
      </c>
      <c r="HE83" t="e">
        <f>AND(#REF!,"AAAAAH/3/9Q=")</f>
        <v>#REF!</v>
      </c>
      <c r="HF83" t="e">
        <f>AND(#REF!,"AAAAAH/3/9U=")</f>
        <v>#REF!</v>
      </c>
      <c r="HG83" t="e">
        <f>AND(#REF!,"AAAAAH/3/9Y=")</f>
        <v>#REF!</v>
      </c>
      <c r="HH83" t="e">
        <f>IF(#REF!,"AAAAAH/3/9c=",0)</f>
        <v>#REF!</v>
      </c>
      <c r="HI83" t="e">
        <f>AND(#REF!,"AAAAAH/3/9g=")</f>
        <v>#REF!</v>
      </c>
      <c r="HJ83" t="e">
        <f>AND(#REF!,"AAAAAH/3/9k=")</f>
        <v>#REF!</v>
      </c>
      <c r="HK83" t="e">
        <f>AND(#REF!,"AAAAAH/3/9o=")</f>
        <v>#REF!</v>
      </c>
      <c r="HL83" t="e">
        <f>AND(#REF!,"AAAAAH/3/9s=")</f>
        <v>#REF!</v>
      </c>
      <c r="HM83" t="e">
        <f>AND(#REF!,"AAAAAH/3/9w=")</f>
        <v>#REF!</v>
      </c>
      <c r="HN83" t="e">
        <f>AND(#REF!,"AAAAAH/3/90=")</f>
        <v>#REF!</v>
      </c>
      <c r="HO83" t="e">
        <f>AND(#REF!,"AAAAAH/3/94=")</f>
        <v>#REF!</v>
      </c>
      <c r="HP83" t="e">
        <f>AND(#REF!,"AAAAAH/3/98=")</f>
        <v>#REF!</v>
      </c>
      <c r="HQ83" t="e">
        <f>AND(#REF!,"AAAAAH/3/+A=")</f>
        <v>#REF!</v>
      </c>
      <c r="HR83" t="e">
        <f>AND(#REF!,"AAAAAH/3/+E=")</f>
        <v>#REF!</v>
      </c>
      <c r="HS83" t="e">
        <f>AND(#REF!,"AAAAAH/3/+I=")</f>
        <v>#REF!</v>
      </c>
      <c r="HT83" t="e">
        <f>AND(#REF!,"AAAAAH/3/+M=")</f>
        <v>#REF!</v>
      </c>
      <c r="HU83" t="e">
        <f>AND(#REF!,"AAAAAH/3/+Q=")</f>
        <v>#REF!</v>
      </c>
      <c r="HV83" t="e">
        <f>AND(#REF!,"AAAAAH/3/+U=")</f>
        <v>#REF!</v>
      </c>
      <c r="HW83" t="e">
        <f>AND(#REF!,"AAAAAH/3/+Y=")</f>
        <v>#REF!</v>
      </c>
      <c r="HX83" t="e">
        <f>AND(#REF!,"AAAAAH/3/+c=")</f>
        <v>#REF!</v>
      </c>
      <c r="HY83" t="e">
        <f>AND(#REF!,"AAAAAH/3/+g=")</f>
        <v>#REF!</v>
      </c>
      <c r="HZ83" t="e">
        <f>AND(#REF!,"AAAAAH/3/+k=")</f>
        <v>#REF!</v>
      </c>
      <c r="IA83" t="e">
        <f>AND(#REF!,"AAAAAH/3/+o=")</f>
        <v>#REF!</v>
      </c>
      <c r="IB83" t="e">
        <f>AND(#REF!,"AAAAAH/3/+s=")</f>
        <v>#REF!</v>
      </c>
      <c r="IC83" t="e">
        <f>AND(#REF!,"AAAAAH/3/+w=")</f>
        <v>#REF!</v>
      </c>
      <c r="ID83" t="e">
        <f>AND(#REF!,"AAAAAH/3/+0=")</f>
        <v>#REF!</v>
      </c>
      <c r="IE83" t="e">
        <f>AND(#REF!,"AAAAAH/3/+4=")</f>
        <v>#REF!</v>
      </c>
      <c r="IF83" t="e">
        <f>AND(#REF!,"AAAAAH/3/+8=")</f>
        <v>#REF!</v>
      </c>
      <c r="IG83" t="e">
        <f>AND(#REF!,"AAAAAH/3//A=")</f>
        <v>#REF!</v>
      </c>
      <c r="IH83" t="e">
        <f>AND(#REF!,"AAAAAH/3//E=")</f>
        <v>#REF!</v>
      </c>
      <c r="II83" t="e">
        <f>IF(#REF!,"AAAAAH/3//I=",0)</f>
        <v>#REF!</v>
      </c>
      <c r="IJ83" t="e">
        <f>AND(#REF!,"AAAAAH/3//M=")</f>
        <v>#REF!</v>
      </c>
      <c r="IK83" t="e">
        <f>AND(#REF!,"AAAAAH/3//Q=")</f>
        <v>#REF!</v>
      </c>
      <c r="IL83" t="e">
        <f>AND(#REF!,"AAAAAH/3//U=")</f>
        <v>#REF!</v>
      </c>
      <c r="IM83" t="e">
        <f>AND(#REF!,"AAAAAH/3//Y=")</f>
        <v>#REF!</v>
      </c>
      <c r="IN83" t="e">
        <f>AND(#REF!,"AAAAAH/3//c=")</f>
        <v>#REF!</v>
      </c>
      <c r="IO83" t="e">
        <f>AND(#REF!,"AAAAAH/3//g=")</f>
        <v>#REF!</v>
      </c>
      <c r="IP83" t="e">
        <f>AND(#REF!,"AAAAAH/3//k=")</f>
        <v>#REF!</v>
      </c>
      <c r="IQ83" t="e">
        <f>AND(#REF!,"AAAAAH/3//o=")</f>
        <v>#REF!</v>
      </c>
      <c r="IR83" t="e">
        <f>AND(#REF!,"AAAAAH/3//s=")</f>
        <v>#REF!</v>
      </c>
      <c r="IS83" t="e">
        <f>AND(#REF!,"AAAAAH/3//w=")</f>
        <v>#REF!</v>
      </c>
      <c r="IT83" t="e">
        <f>AND(#REF!,"AAAAAH/3//0=")</f>
        <v>#REF!</v>
      </c>
      <c r="IU83" t="e">
        <f>AND(#REF!,"AAAAAH/3//4=")</f>
        <v>#REF!</v>
      </c>
      <c r="IV83" t="e">
        <f>AND(#REF!,"AAAAAH/3//8=")</f>
        <v>#REF!</v>
      </c>
    </row>
    <row r="84" spans="1:256" x14ac:dyDescent="0.2">
      <c r="A84" t="e">
        <f>AND(#REF!,"AAAAAH/3zwA=")</f>
        <v>#REF!</v>
      </c>
      <c r="B84" t="e">
        <f>AND(#REF!,"AAAAAH/3zwE=")</f>
        <v>#REF!</v>
      </c>
      <c r="C84" t="e">
        <f>AND(#REF!,"AAAAAH/3zwI=")</f>
        <v>#REF!</v>
      </c>
      <c r="D84" t="e">
        <f>AND(#REF!,"AAAAAH/3zwM=")</f>
        <v>#REF!</v>
      </c>
      <c r="E84" t="e">
        <f>AND(#REF!,"AAAAAH/3zwQ=")</f>
        <v>#REF!</v>
      </c>
      <c r="F84" t="e">
        <f>AND(#REF!,"AAAAAH/3zwU=")</f>
        <v>#REF!</v>
      </c>
      <c r="G84" t="e">
        <f>AND(#REF!,"AAAAAH/3zwY=")</f>
        <v>#REF!</v>
      </c>
      <c r="H84" t="e">
        <f>AND(#REF!,"AAAAAH/3zwc=")</f>
        <v>#REF!</v>
      </c>
      <c r="I84" t="e">
        <f>AND(#REF!,"AAAAAH/3zwg=")</f>
        <v>#REF!</v>
      </c>
      <c r="J84" t="e">
        <f>AND(#REF!,"AAAAAH/3zwk=")</f>
        <v>#REF!</v>
      </c>
      <c r="K84" t="e">
        <f>AND(#REF!,"AAAAAH/3zwo=")</f>
        <v>#REF!</v>
      </c>
      <c r="L84" t="e">
        <f>AND(#REF!,"AAAAAH/3zws=")</f>
        <v>#REF!</v>
      </c>
      <c r="M84" t="e">
        <f>AND(#REF!,"AAAAAH/3zww=")</f>
        <v>#REF!</v>
      </c>
      <c r="N84" t="e">
        <f>IF(#REF!,"AAAAAH/3zw0=",0)</f>
        <v>#REF!</v>
      </c>
      <c r="O84" t="e">
        <f>AND(#REF!,"AAAAAH/3zw4=")</f>
        <v>#REF!</v>
      </c>
      <c r="P84" t="e">
        <f>AND(#REF!,"AAAAAH/3zw8=")</f>
        <v>#REF!</v>
      </c>
      <c r="Q84" t="e">
        <f>AND(#REF!,"AAAAAH/3zxA=")</f>
        <v>#REF!</v>
      </c>
      <c r="R84" t="e">
        <f>AND(#REF!,"AAAAAH/3zxE=")</f>
        <v>#REF!</v>
      </c>
      <c r="S84" t="e">
        <f>AND(#REF!,"AAAAAH/3zxI=")</f>
        <v>#REF!</v>
      </c>
      <c r="T84" t="e">
        <f>AND(#REF!,"AAAAAH/3zxM=")</f>
        <v>#REF!</v>
      </c>
      <c r="U84" t="e">
        <f>AND(#REF!,"AAAAAH/3zxQ=")</f>
        <v>#REF!</v>
      </c>
      <c r="V84" t="e">
        <f>AND(#REF!,"AAAAAH/3zxU=")</f>
        <v>#REF!</v>
      </c>
      <c r="W84" t="e">
        <f>AND(#REF!,"AAAAAH/3zxY=")</f>
        <v>#REF!</v>
      </c>
      <c r="X84" t="e">
        <f>AND(#REF!,"AAAAAH/3zxc=")</f>
        <v>#REF!</v>
      </c>
      <c r="Y84" t="e">
        <f>AND(#REF!,"AAAAAH/3zxg=")</f>
        <v>#REF!</v>
      </c>
      <c r="Z84" t="e">
        <f>AND(#REF!,"AAAAAH/3zxk=")</f>
        <v>#REF!</v>
      </c>
      <c r="AA84" t="e">
        <f>AND(#REF!,"AAAAAH/3zxo=")</f>
        <v>#REF!</v>
      </c>
      <c r="AB84" t="e">
        <f>AND(#REF!,"AAAAAH/3zxs=")</f>
        <v>#REF!</v>
      </c>
      <c r="AC84" t="e">
        <f>AND(#REF!,"AAAAAH/3zxw=")</f>
        <v>#REF!</v>
      </c>
      <c r="AD84" t="e">
        <f>AND(#REF!,"AAAAAH/3zx0=")</f>
        <v>#REF!</v>
      </c>
      <c r="AE84" t="e">
        <f>AND(#REF!,"AAAAAH/3zx4=")</f>
        <v>#REF!</v>
      </c>
      <c r="AF84" t="e">
        <f>AND(#REF!,"AAAAAH/3zx8=")</f>
        <v>#REF!</v>
      </c>
      <c r="AG84" t="e">
        <f>AND(#REF!,"AAAAAH/3zyA=")</f>
        <v>#REF!</v>
      </c>
      <c r="AH84" t="e">
        <f>AND(#REF!,"AAAAAH/3zyE=")</f>
        <v>#REF!</v>
      </c>
      <c r="AI84" t="e">
        <f>AND(#REF!,"AAAAAH/3zyI=")</f>
        <v>#REF!</v>
      </c>
      <c r="AJ84" t="e">
        <f>AND(#REF!,"AAAAAH/3zyM=")</f>
        <v>#REF!</v>
      </c>
      <c r="AK84" t="e">
        <f>AND(#REF!,"AAAAAH/3zyQ=")</f>
        <v>#REF!</v>
      </c>
      <c r="AL84" t="e">
        <f>AND(#REF!,"AAAAAH/3zyU=")</f>
        <v>#REF!</v>
      </c>
      <c r="AM84" t="e">
        <f>AND(#REF!,"AAAAAH/3zyY=")</f>
        <v>#REF!</v>
      </c>
      <c r="AN84" t="e">
        <f>AND(#REF!,"AAAAAH/3zyc=")</f>
        <v>#REF!</v>
      </c>
      <c r="AO84" t="e">
        <f>IF(#REF!,"AAAAAH/3zyg=",0)</f>
        <v>#REF!</v>
      </c>
      <c r="AP84" t="e">
        <f>AND(#REF!,"AAAAAH/3zyk=")</f>
        <v>#REF!</v>
      </c>
      <c r="AQ84" t="e">
        <f>AND(#REF!,"AAAAAH/3zyo=")</f>
        <v>#REF!</v>
      </c>
      <c r="AR84" t="e">
        <f>AND(#REF!,"AAAAAH/3zys=")</f>
        <v>#REF!</v>
      </c>
      <c r="AS84" t="e">
        <f>AND(#REF!,"AAAAAH/3zyw=")</f>
        <v>#REF!</v>
      </c>
      <c r="AT84" t="e">
        <f>AND(#REF!,"AAAAAH/3zy0=")</f>
        <v>#REF!</v>
      </c>
      <c r="AU84" t="e">
        <f>AND(#REF!,"AAAAAH/3zy4=")</f>
        <v>#REF!</v>
      </c>
      <c r="AV84" t="e">
        <f>AND(#REF!,"AAAAAH/3zy8=")</f>
        <v>#REF!</v>
      </c>
      <c r="AW84" t="e">
        <f>AND(#REF!,"AAAAAH/3zzA=")</f>
        <v>#REF!</v>
      </c>
      <c r="AX84" t="e">
        <f>AND(#REF!,"AAAAAH/3zzE=")</f>
        <v>#REF!</v>
      </c>
      <c r="AY84" t="e">
        <f>AND(#REF!,"AAAAAH/3zzI=")</f>
        <v>#REF!</v>
      </c>
      <c r="AZ84" t="e">
        <f>AND(#REF!,"AAAAAH/3zzM=")</f>
        <v>#REF!</v>
      </c>
      <c r="BA84" t="e">
        <f>AND(#REF!,"AAAAAH/3zzQ=")</f>
        <v>#REF!</v>
      </c>
      <c r="BB84" t="e">
        <f>AND(#REF!,"AAAAAH/3zzU=")</f>
        <v>#REF!</v>
      </c>
      <c r="BC84" t="e">
        <f>AND(#REF!,"AAAAAH/3zzY=")</f>
        <v>#REF!</v>
      </c>
      <c r="BD84" t="e">
        <f>AND(#REF!,"AAAAAH/3zzc=")</f>
        <v>#REF!</v>
      </c>
      <c r="BE84" t="e">
        <f>AND(#REF!,"AAAAAH/3zzg=")</f>
        <v>#REF!</v>
      </c>
      <c r="BF84" t="e">
        <f>AND(#REF!,"AAAAAH/3zzk=")</f>
        <v>#REF!</v>
      </c>
      <c r="BG84" t="e">
        <f>AND(#REF!,"AAAAAH/3zzo=")</f>
        <v>#REF!</v>
      </c>
      <c r="BH84" t="e">
        <f>AND(#REF!,"AAAAAH/3zzs=")</f>
        <v>#REF!</v>
      </c>
      <c r="BI84" t="e">
        <f>AND(#REF!,"AAAAAH/3zzw=")</f>
        <v>#REF!</v>
      </c>
      <c r="BJ84" t="e">
        <f>AND(#REF!,"AAAAAH/3zz0=")</f>
        <v>#REF!</v>
      </c>
      <c r="BK84" t="e">
        <f>AND(#REF!,"AAAAAH/3zz4=")</f>
        <v>#REF!</v>
      </c>
      <c r="BL84" t="e">
        <f>AND(#REF!,"AAAAAH/3zz8=")</f>
        <v>#REF!</v>
      </c>
      <c r="BM84" t="e">
        <f>AND(#REF!,"AAAAAH/3z0A=")</f>
        <v>#REF!</v>
      </c>
      <c r="BN84" t="e">
        <f>AND(#REF!,"AAAAAH/3z0E=")</f>
        <v>#REF!</v>
      </c>
      <c r="BO84" t="e">
        <f>AND(#REF!,"AAAAAH/3z0I=")</f>
        <v>#REF!</v>
      </c>
      <c r="BP84" t="e">
        <f>IF(#REF!,"AAAAAH/3z0M=",0)</f>
        <v>#REF!</v>
      </c>
      <c r="BQ84" t="e">
        <f>AND(#REF!,"AAAAAH/3z0Q=")</f>
        <v>#REF!</v>
      </c>
      <c r="BR84" t="e">
        <f>AND(#REF!,"AAAAAH/3z0U=")</f>
        <v>#REF!</v>
      </c>
      <c r="BS84" t="e">
        <f>AND(#REF!,"AAAAAH/3z0Y=")</f>
        <v>#REF!</v>
      </c>
      <c r="BT84" t="e">
        <f>AND(#REF!,"AAAAAH/3z0c=")</f>
        <v>#REF!</v>
      </c>
      <c r="BU84" t="e">
        <f>AND(#REF!,"AAAAAH/3z0g=")</f>
        <v>#REF!</v>
      </c>
      <c r="BV84" t="e">
        <f>AND(#REF!,"AAAAAH/3z0k=")</f>
        <v>#REF!</v>
      </c>
      <c r="BW84" t="e">
        <f>AND(#REF!,"AAAAAH/3z0o=")</f>
        <v>#REF!</v>
      </c>
      <c r="BX84" t="e">
        <f>AND(#REF!,"AAAAAH/3z0s=")</f>
        <v>#REF!</v>
      </c>
      <c r="BY84" t="e">
        <f>AND(#REF!,"AAAAAH/3z0w=")</f>
        <v>#REF!</v>
      </c>
      <c r="BZ84" t="e">
        <f>AND(#REF!,"AAAAAH/3z00=")</f>
        <v>#REF!</v>
      </c>
      <c r="CA84" t="e">
        <f>AND(#REF!,"AAAAAH/3z04=")</f>
        <v>#REF!</v>
      </c>
      <c r="CB84" t="e">
        <f>AND(#REF!,"AAAAAH/3z08=")</f>
        <v>#REF!</v>
      </c>
      <c r="CC84" t="e">
        <f>AND(#REF!,"AAAAAH/3z1A=")</f>
        <v>#REF!</v>
      </c>
      <c r="CD84" t="e">
        <f>AND(#REF!,"AAAAAH/3z1E=")</f>
        <v>#REF!</v>
      </c>
      <c r="CE84" t="e">
        <f>AND(#REF!,"AAAAAH/3z1I=")</f>
        <v>#REF!</v>
      </c>
      <c r="CF84" t="e">
        <f>AND(#REF!,"AAAAAH/3z1M=")</f>
        <v>#REF!</v>
      </c>
      <c r="CG84" t="e">
        <f>AND(#REF!,"AAAAAH/3z1Q=")</f>
        <v>#REF!</v>
      </c>
      <c r="CH84" t="e">
        <f>AND(#REF!,"AAAAAH/3z1U=")</f>
        <v>#REF!</v>
      </c>
      <c r="CI84" t="e">
        <f>AND(#REF!,"AAAAAH/3z1Y=")</f>
        <v>#REF!</v>
      </c>
      <c r="CJ84" t="e">
        <f>AND(#REF!,"AAAAAH/3z1c=")</f>
        <v>#REF!</v>
      </c>
      <c r="CK84" t="e">
        <f>AND(#REF!,"AAAAAH/3z1g=")</f>
        <v>#REF!</v>
      </c>
      <c r="CL84" t="e">
        <f>AND(#REF!,"AAAAAH/3z1k=")</f>
        <v>#REF!</v>
      </c>
      <c r="CM84" t="e">
        <f>AND(#REF!,"AAAAAH/3z1o=")</f>
        <v>#REF!</v>
      </c>
      <c r="CN84" t="e">
        <f>AND(#REF!,"AAAAAH/3z1s=")</f>
        <v>#REF!</v>
      </c>
      <c r="CO84" t="e">
        <f>AND(#REF!,"AAAAAH/3z1w=")</f>
        <v>#REF!</v>
      </c>
      <c r="CP84" t="e">
        <f>AND(#REF!,"AAAAAH/3z10=")</f>
        <v>#REF!</v>
      </c>
      <c r="CQ84" t="e">
        <f>IF(#REF!,"AAAAAH/3z14=",0)</f>
        <v>#REF!</v>
      </c>
      <c r="CR84" t="e">
        <f>AND(#REF!,"AAAAAH/3z18=")</f>
        <v>#REF!</v>
      </c>
      <c r="CS84" t="e">
        <f>AND(#REF!,"AAAAAH/3z2A=")</f>
        <v>#REF!</v>
      </c>
      <c r="CT84" t="e">
        <f>AND(#REF!,"AAAAAH/3z2E=")</f>
        <v>#REF!</v>
      </c>
      <c r="CU84" t="e">
        <f>AND(#REF!,"AAAAAH/3z2I=")</f>
        <v>#REF!</v>
      </c>
      <c r="CV84" t="e">
        <f>AND(#REF!,"AAAAAH/3z2M=")</f>
        <v>#REF!</v>
      </c>
      <c r="CW84" t="e">
        <f>AND(#REF!,"AAAAAH/3z2Q=")</f>
        <v>#REF!</v>
      </c>
      <c r="CX84" t="e">
        <f>AND(#REF!,"AAAAAH/3z2U=")</f>
        <v>#REF!</v>
      </c>
      <c r="CY84" t="e">
        <f>AND(#REF!,"AAAAAH/3z2Y=")</f>
        <v>#REF!</v>
      </c>
      <c r="CZ84" t="e">
        <f>AND(#REF!,"AAAAAH/3z2c=")</f>
        <v>#REF!</v>
      </c>
      <c r="DA84" t="e">
        <f>AND(#REF!,"AAAAAH/3z2g=")</f>
        <v>#REF!</v>
      </c>
      <c r="DB84" t="e">
        <f>AND(#REF!,"AAAAAH/3z2k=")</f>
        <v>#REF!</v>
      </c>
      <c r="DC84" t="e">
        <f>AND(#REF!,"AAAAAH/3z2o=")</f>
        <v>#REF!</v>
      </c>
      <c r="DD84" t="e">
        <f>AND(#REF!,"AAAAAH/3z2s=")</f>
        <v>#REF!</v>
      </c>
      <c r="DE84" t="e">
        <f>AND(#REF!,"AAAAAH/3z2w=")</f>
        <v>#REF!</v>
      </c>
      <c r="DF84" t="e">
        <f>AND(#REF!,"AAAAAH/3z20=")</f>
        <v>#REF!</v>
      </c>
      <c r="DG84" t="e">
        <f>AND(#REF!,"AAAAAH/3z24=")</f>
        <v>#REF!</v>
      </c>
      <c r="DH84" t="e">
        <f>AND(#REF!,"AAAAAH/3z28=")</f>
        <v>#REF!</v>
      </c>
      <c r="DI84" t="e">
        <f>AND(#REF!,"AAAAAH/3z3A=")</f>
        <v>#REF!</v>
      </c>
      <c r="DJ84" t="e">
        <f>AND(#REF!,"AAAAAH/3z3E=")</f>
        <v>#REF!</v>
      </c>
      <c r="DK84" t="e">
        <f>AND(#REF!,"AAAAAH/3z3I=")</f>
        <v>#REF!</v>
      </c>
      <c r="DL84" t="e">
        <f>AND(#REF!,"AAAAAH/3z3M=")</f>
        <v>#REF!</v>
      </c>
      <c r="DM84" t="e">
        <f>AND(#REF!,"AAAAAH/3z3Q=")</f>
        <v>#REF!</v>
      </c>
      <c r="DN84" t="e">
        <f>AND(#REF!,"AAAAAH/3z3U=")</f>
        <v>#REF!</v>
      </c>
      <c r="DO84" t="e">
        <f>AND(#REF!,"AAAAAH/3z3Y=")</f>
        <v>#REF!</v>
      </c>
      <c r="DP84" t="e">
        <f>AND(#REF!,"AAAAAH/3z3c=")</f>
        <v>#REF!</v>
      </c>
      <c r="DQ84" t="e">
        <f>AND(#REF!,"AAAAAH/3z3g=")</f>
        <v>#REF!</v>
      </c>
      <c r="DR84" t="e">
        <f>IF(#REF!,"AAAAAH/3z3k=",0)</f>
        <v>#REF!</v>
      </c>
      <c r="DS84" t="e">
        <f>AND(#REF!,"AAAAAH/3z3o=")</f>
        <v>#REF!</v>
      </c>
      <c r="DT84" t="e">
        <f>AND(#REF!,"AAAAAH/3z3s=")</f>
        <v>#REF!</v>
      </c>
      <c r="DU84" t="e">
        <f>AND(#REF!,"AAAAAH/3z3w=")</f>
        <v>#REF!</v>
      </c>
      <c r="DV84" t="e">
        <f>AND(#REF!,"AAAAAH/3z30=")</f>
        <v>#REF!</v>
      </c>
      <c r="DW84" t="e">
        <f>AND(#REF!,"AAAAAH/3z34=")</f>
        <v>#REF!</v>
      </c>
      <c r="DX84" t="e">
        <f>AND(#REF!,"AAAAAH/3z38=")</f>
        <v>#REF!</v>
      </c>
      <c r="DY84" t="e">
        <f>AND(#REF!,"AAAAAH/3z4A=")</f>
        <v>#REF!</v>
      </c>
      <c r="DZ84" t="e">
        <f>AND(#REF!,"AAAAAH/3z4E=")</f>
        <v>#REF!</v>
      </c>
      <c r="EA84" t="e">
        <f>AND(#REF!,"AAAAAH/3z4I=")</f>
        <v>#REF!</v>
      </c>
      <c r="EB84" t="e">
        <f>AND(#REF!,"AAAAAH/3z4M=")</f>
        <v>#REF!</v>
      </c>
      <c r="EC84" t="e">
        <f>AND(#REF!,"AAAAAH/3z4Q=")</f>
        <v>#REF!</v>
      </c>
      <c r="ED84" t="e">
        <f>AND(#REF!,"AAAAAH/3z4U=")</f>
        <v>#REF!</v>
      </c>
      <c r="EE84" t="e">
        <f>AND(#REF!,"AAAAAH/3z4Y=")</f>
        <v>#REF!</v>
      </c>
      <c r="EF84" t="e">
        <f>AND(#REF!,"AAAAAH/3z4c=")</f>
        <v>#REF!</v>
      </c>
      <c r="EG84" t="e">
        <f>AND(#REF!,"AAAAAH/3z4g=")</f>
        <v>#REF!</v>
      </c>
      <c r="EH84" t="e">
        <f>AND(#REF!,"AAAAAH/3z4k=")</f>
        <v>#REF!</v>
      </c>
      <c r="EI84" t="e">
        <f>AND(#REF!,"AAAAAH/3z4o=")</f>
        <v>#REF!</v>
      </c>
      <c r="EJ84" t="e">
        <f>AND(#REF!,"AAAAAH/3z4s=")</f>
        <v>#REF!</v>
      </c>
      <c r="EK84" t="e">
        <f>AND(#REF!,"AAAAAH/3z4w=")</f>
        <v>#REF!</v>
      </c>
      <c r="EL84" t="e">
        <f>AND(#REF!,"AAAAAH/3z40=")</f>
        <v>#REF!</v>
      </c>
      <c r="EM84" t="e">
        <f>AND(#REF!,"AAAAAH/3z44=")</f>
        <v>#REF!</v>
      </c>
      <c r="EN84" t="e">
        <f>AND(#REF!,"AAAAAH/3z48=")</f>
        <v>#REF!</v>
      </c>
      <c r="EO84" t="e">
        <f>AND(#REF!,"AAAAAH/3z5A=")</f>
        <v>#REF!</v>
      </c>
      <c r="EP84" t="e">
        <f>AND(#REF!,"AAAAAH/3z5E=")</f>
        <v>#REF!</v>
      </c>
      <c r="EQ84" t="e">
        <f>AND(#REF!,"AAAAAH/3z5I=")</f>
        <v>#REF!</v>
      </c>
      <c r="ER84" t="e">
        <f>AND(#REF!,"AAAAAH/3z5M=")</f>
        <v>#REF!</v>
      </c>
      <c r="ES84" t="e">
        <f>IF(#REF!,"AAAAAH/3z5Q=",0)</f>
        <v>#REF!</v>
      </c>
      <c r="ET84" t="e">
        <f>AND(#REF!,"AAAAAH/3z5U=")</f>
        <v>#REF!</v>
      </c>
      <c r="EU84" t="e">
        <f>AND(#REF!,"AAAAAH/3z5Y=")</f>
        <v>#REF!</v>
      </c>
      <c r="EV84" t="e">
        <f>AND(#REF!,"AAAAAH/3z5c=")</f>
        <v>#REF!</v>
      </c>
      <c r="EW84" t="e">
        <f>AND(#REF!,"AAAAAH/3z5g=")</f>
        <v>#REF!</v>
      </c>
      <c r="EX84" t="e">
        <f>AND(#REF!,"AAAAAH/3z5k=")</f>
        <v>#REF!</v>
      </c>
      <c r="EY84" t="e">
        <f>AND(#REF!,"AAAAAH/3z5o=")</f>
        <v>#REF!</v>
      </c>
      <c r="EZ84" t="e">
        <f>AND(#REF!,"AAAAAH/3z5s=")</f>
        <v>#REF!</v>
      </c>
      <c r="FA84" t="e">
        <f>AND(#REF!,"AAAAAH/3z5w=")</f>
        <v>#REF!</v>
      </c>
      <c r="FB84" t="e">
        <f>AND(#REF!,"AAAAAH/3z50=")</f>
        <v>#REF!</v>
      </c>
      <c r="FC84" t="e">
        <f>AND(#REF!,"AAAAAH/3z54=")</f>
        <v>#REF!</v>
      </c>
      <c r="FD84" t="e">
        <f>AND(#REF!,"AAAAAH/3z58=")</f>
        <v>#REF!</v>
      </c>
      <c r="FE84" t="e">
        <f>AND(#REF!,"AAAAAH/3z6A=")</f>
        <v>#REF!</v>
      </c>
      <c r="FF84" t="e">
        <f>AND(#REF!,"AAAAAH/3z6E=")</f>
        <v>#REF!</v>
      </c>
      <c r="FG84" t="e">
        <f>AND(#REF!,"AAAAAH/3z6I=")</f>
        <v>#REF!</v>
      </c>
      <c r="FH84" t="e">
        <f>AND(#REF!,"AAAAAH/3z6M=")</f>
        <v>#REF!</v>
      </c>
      <c r="FI84" t="e">
        <f>AND(#REF!,"AAAAAH/3z6Q=")</f>
        <v>#REF!</v>
      </c>
      <c r="FJ84" t="e">
        <f>AND(#REF!,"AAAAAH/3z6U=")</f>
        <v>#REF!</v>
      </c>
      <c r="FK84" t="e">
        <f>AND(#REF!,"AAAAAH/3z6Y=")</f>
        <v>#REF!</v>
      </c>
      <c r="FL84" t="e">
        <f>AND(#REF!,"AAAAAH/3z6c=")</f>
        <v>#REF!</v>
      </c>
      <c r="FM84" t="e">
        <f>AND(#REF!,"AAAAAH/3z6g=")</f>
        <v>#REF!</v>
      </c>
      <c r="FN84" t="e">
        <f>AND(#REF!,"AAAAAH/3z6k=")</f>
        <v>#REF!</v>
      </c>
      <c r="FO84" t="e">
        <f>AND(#REF!,"AAAAAH/3z6o=")</f>
        <v>#REF!</v>
      </c>
      <c r="FP84" t="e">
        <f>AND(#REF!,"AAAAAH/3z6s=")</f>
        <v>#REF!</v>
      </c>
      <c r="FQ84" t="e">
        <f>AND(#REF!,"AAAAAH/3z6w=")</f>
        <v>#REF!</v>
      </c>
      <c r="FR84" t="e">
        <f>AND(#REF!,"AAAAAH/3z60=")</f>
        <v>#REF!</v>
      </c>
      <c r="FS84" t="e">
        <f>AND(#REF!,"AAAAAH/3z64=")</f>
        <v>#REF!</v>
      </c>
      <c r="FT84" t="e">
        <f>IF(#REF!,"AAAAAH/3z68=",0)</f>
        <v>#REF!</v>
      </c>
      <c r="FU84" t="e">
        <f>AND(#REF!,"AAAAAH/3z7A=")</f>
        <v>#REF!</v>
      </c>
      <c r="FV84" t="e">
        <f>AND(#REF!,"AAAAAH/3z7E=")</f>
        <v>#REF!</v>
      </c>
      <c r="FW84" t="e">
        <f>AND(#REF!,"AAAAAH/3z7I=")</f>
        <v>#REF!</v>
      </c>
      <c r="FX84" t="e">
        <f>AND(#REF!,"AAAAAH/3z7M=")</f>
        <v>#REF!</v>
      </c>
      <c r="FY84" t="e">
        <f>AND(#REF!,"AAAAAH/3z7Q=")</f>
        <v>#REF!</v>
      </c>
      <c r="FZ84" t="e">
        <f>AND(#REF!,"AAAAAH/3z7U=")</f>
        <v>#REF!</v>
      </c>
      <c r="GA84" t="e">
        <f>AND(#REF!,"AAAAAH/3z7Y=")</f>
        <v>#REF!</v>
      </c>
      <c r="GB84" t="e">
        <f>AND(#REF!,"AAAAAH/3z7c=")</f>
        <v>#REF!</v>
      </c>
      <c r="GC84" t="e">
        <f>AND(#REF!,"AAAAAH/3z7g=")</f>
        <v>#REF!</v>
      </c>
      <c r="GD84" t="e">
        <f>AND(#REF!,"AAAAAH/3z7k=")</f>
        <v>#REF!</v>
      </c>
      <c r="GE84" t="e">
        <f>AND(#REF!,"AAAAAH/3z7o=")</f>
        <v>#REF!</v>
      </c>
      <c r="GF84" t="e">
        <f>AND(#REF!,"AAAAAH/3z7s=")</f>
        <v>#REF!</v>
      </c>
      <c r="GG84" t="e">
        <f>AND(#REF!,"AAAAAH/3z7w=")</f>
        <v>#REF!</v>
      </c>
      <c r="GH84" t="e">
        <f>AND(#REF!,"AAAAAH/3z70=")</f>
        <v>#REF!</v>
      </c>
      <c r="GI84" t="e">
        <f>AND(#REF!,"AAAAAH/3z74=")</f>
        <v>#REF!</v>
      </c>
      <c r="GJ84" t="e">
        <f>AND(#REF!,"AAAAAH/3z78=")</f>
        <v>#REF!</v>
      </c>
      <c r="GK84" t="e">
        <f>AND(#REF!,"AAAAAH/3z8A=")</f>
        <v>#REF!</v>
      </c>
      <c r="GL84" t="e">
        <f>AND(#REF!,"AAAAAH/3z8E=")</f>
        <v>#REF!</v>
      </c>
      <c r="GM84" t="e">
        <f>AND(#REF!,"AAAAAH/3z8I=")</f>
        <v>#REF!</v>
      </c>
      <c r="GN84" t="e">
        <f>AND(#REF!,"AAAAAH/3z8M=")</f>
        <v>#REF!</v>
      </c>
      <c r="GO84" t="e">
        <f>AND(#REF!,"AAAAAH/3z8Q=")</f>
        <v>#REF!</v>
      </c>
      <c r="GP84" t="e">
        <f>AND(#REF!,"AAAAAH/3z8U=")</f>
        <v>#REF!</v>
      </c>
      <c r="GQ84" t="e">
        <f>AND(#REF!,"AAAAAH/3z8Y=")</f>
        <v>#REF!</v>
      </c>
      <c r="GR84" t="e">
        <f>AND(#REF!,"AAAAAH/3z8c=")</f>
        <v>#REF!</v>
      </c>
      <c r="GS84" t="e">
        <f>AND(#REF!,"AAAAAH/3z8g=")</f>
        <v>#REF!</v>
      </c>
      <c r="GT84" t="e">
        <f>AND(#REF!,"AAAAAH/3z8k=")</f>
        <v>#REF!</v>
      </c>
      <c r="GU84" t="e">
        <f>IF(#REF!,"AAAAAH/3z8o=",0)</f>
        <v>#REF!</v>
      </c>
      <c r="GV84" t="e">
        <f>AND(#REF!,"AAAAAH/3z8s=")</f>
        <v>#REF!</v>
      </c>
      <c r="GW84" t="e">
        <f>AND(#REF!,"AAAAAH/3z8w=")</f>
        <v>#REF!</v>
      </c>
      <c r="GX84" t="e">
        <f>AND(#REF!,"AAAAAH/3z80=")</f>
        <v>#REF!</v>
      </c>
      <c r="GY84" t="e">
        <f>AND(#REF!,"AAAAAH/3z84=")</f>
        <v>#REF!</v>
      </c>
      <c r="GZ84" t="e">
        <f>AND(#REF!,"AAAAAH/3z88=")</f>
        <v>#REF!</v>
      </c>
      <c r="HA84" t="e">
        <f>AND(#REF!,"AAAAAH/3z9A=")</f>
        <v>#REF!</v>
      </c>
      <c r="HB84" t="e">
        <f>AND(#REF!,"AAAAAH/3z9E=")</f>
        <v>#REF!</v>
      </c>
      <c r="HC84" t="e">
        <f>AND(#REF!,"AAAAAH/3z9I=")</f>
        <v>#REF!</v>
      </c>
      <c r="HD84" t="e">
        <f>AND(#REF!,"AAAAAH/3z9M=")</f>
        <v>#REF!</v>
      </c>
      <c r="HE84" t="e">
        <f>AND(#REF!,"AAAAAH/3z9Q=")</f>
        <v>#REF!</v>
      </c>
      <c r="HF84" t="e">
        <f>AND(#REF!,"AAAAAH/3z9U=")</f>
        <v>#REF!</v>
      </c>
      <c r="HG84" t="e">
        <f>AND(#REF!,"AAAAAH/3z9Y=")</f>
        <v>#REF!</v>
      </c>
      <c r="HH84" t="e">
        <f>AND(#REF!,"AAAAAH/3z9c=")</f>
        <v>#REF!</v>
      </c>
      <c r="HI84" t="e">
        <f>AND(#REF!,"AAAAAH/3z9g=")</f>
        <v>#REF!</v>
      </c>
      <c r="HJ84" t="e">
        <f>AND(#REF!,"AAAAAH/3z9k=")</f>
        <v>#REF!</v>
      </c>
      <c r="HK84" t="e">
        <f>AND(#REF!,"AAAAAH/3z9o=")</f>
        <v>#REF!</v>
      </c>
      <c r="HL84" t="e">
        <f>AND(#REF!,"AAAAAH/3z9s=")</f>
        <v>#REF!</v>
      </c>
      <c r="HM84" t="e">
        <f>AND(#REF!,"AAAAAH/3z9w=")</f>
        <v>#REF!</v>
      </c>
      <c r="HN84" t="e">
        <f>AND(#REF!,"AAAAAH/3z90=")</f>
        <v>#REF!</v>
      </c>
      <c r="HO84" t="e">
        <f>AND(#REF!,"AAAAAH/3z94=")</f>
        <v>#REF!</v>
      </c>
      <c r="HP84" t="e">
        <f>AND(#REF!,"AAAAAH/3z98=")</f>
        <v>#REF!</v>
      </c>
      <c r="HQ84" t="e">
        <f>AND(#REF!,"AAAAAH/3z+A=")</f>
        <v>#REF!</v>
      </c>
      <c r="HR84" t="e">
        <f>AND(#REF!,"AAAAAH/3z+E=")</f>
        <v>#REF!</v>
      </c>
      <c r="HS84" t="e">
        <f>AND(#REF!,"AAAAAH/3z+I=")</f>
        <v>#REF!</v>
      </c>
      <c r="HT84" t="e">
        <f>AND(#REF!,"AAAAAH/3z+M=")</f>
        <v>#REF!</v>
      </c>
      <c r="HU84" t="e">
        <f>AND(#REF!,"AAAAAH/3z+Q=")</f>
        <v>#REF!</v>
      </c>
      <c r="HV84" t="e">
        <f>IF(#REF!,"AAAAAH/3z+U=",0)</f>
        <v>#REF!</v>
      </c>
      <c r="HW84" t="e">
        <f>AND(#REF!,"AAAAAH/3z+Y=")</f>
        <v>#REF!</v>
      </c>
      <c r="HX84" t="e">
        <f>AND(#REF!,"AAAAAH/3z+c=")</f>
        <v>#REF!</v>
      </c>
      <c r="HY84" t="e">
        <f>AND(#REF!,"AAAAAH/3z+g=")</f>
        <v>#REF!</v>
      </c>
      <c r="HZ84" t="e">
        <f>AND(#REF!,"AAAAAH/3z+k=")</f>
        <v>#REF!</v>
      </c>
      <c r="IA84" t="e">
        <f>AND(#REF!,"AAAAAH/3z+o=")</f>
        <v>#REF!</v>
      </c>
      <c r="IB84" t="e">
        <f>AND(#REF!,"AAAAAH/3z+s=")</f>
        <v>#REF!</v>
      </c>
      <c r="IC84" t="e">
        <f>AND(#REF!,"AAAAAH/3z+w=")</f>
        <v>#REF!</v>
      </c>
      <c r="ID84" t="e">
        <f>AND(#REF!,"AAAAAH/3z+0=")</f>
        <v>#REF!</v>
      </c>
      <c r="IE84" t="e">
        <f>AND(#REF!,"AAAAAH/3z+4=")</f>
        <v>#REF!</v>
      </c>
      <c r="IF84" t="e">
        <f>AND(#REF!,"AAAAAH/3z+8=")</f>
        <v>#REF!</v>
      </c>
      <c r="IG84" t="e">
        <f>AND(#REF!,"AAAAAH/3z/A=")</f>
        <v>#REF!</v>
      </c>
      <c r="IH84" t="e">
        <f>AND(#REF!,"AAAAAH/3z/E=")</f>
        <v>#REF!</v>
      </c>
      <c r="II84" t="e">
        <f>AND(#REF!,"AAAAAH/3z/I=")</f>
        <v>#REF!</v>
      </c>
      <c r="IJ84" t="e">
        <f>AND(#REF!,"AAAAAH/3z/M=")</f>
        <v>#REF!</v>
      </c>
      <c r="IK84" t="e">
        <f>AND(#REF!,"AAAAAH/3z/Q=")</f>
        <v>#REF!</v>
      </c>
      <c r="IL84" t="e">
        <f>AND(#REF!,"AAAAAH/3z/U=")</f>
        <v>#REF!</v>
      </c>
      <c r="IM84" t="e">
        <f>AND(#REF!,"AAAAAH/3z/Y=")</f>
        <v>#REF!</v>
      </c>
      <c r="IN84" t="e">
        <f>AND(#REF!,"AAAAAH/3z/c=")</f>
        <v>#REF!</v>
      </c>
      <c r="IO84" t="e">
        <f>AND(#REF!,"AAAAAH/3z/g=")</f>
        <v>#REF!</v>
      </c>
      <c r="IP84" t="e">
        <f>AND(#REF!,"AAAAAH/3z/k=")</f>
        <v>#REF!</v>
      </c>
      <c r="IQ84" t="e">
        <f>AND(#REF!,"AAAAAH/3z/o=")</f>
        <v>#REF!</v>
      </c>
      <c r="IR84" t="e">
        <f>AND(#REF!,"AAAAAH/3z/s=")</f>
        <v>#REF!</v>
      </c>
      <c r="IS84" t="e">
        <f>AND(#REF!,"AAAAAH/3z/w=")</f>
        <v>#REF!</v>
      </c>
      <c r="IT84" t="e">
        <f>AND(#REF!,"AAAAAH/3z/0=")</f>
        <v>#REF!</v>
      </c>
      <c r="IU84" t="e">
        <f>AND(#REF!,"AAAAAH/3z/4=")</f>
        <v>#REF!</v>
      </c>
      <c r="IV84" t="e">
        <f>AND(#REF!,"AAAAAH/3z/8=")</f>
        <v>#REF!</v>
      </c>
    </row>
    <row r="85" spans="1:256" x14ac:dyDescent="0.2">
      <c r="A85" t="e">
        <f>IF(#REF!,"AAAAAH8tuwA=",0)</f>
        <v>#REF!</v>
      </c>
      <c r="B85" t="e">
        <f>AND(#REF!,"AAAAAH8tuwE=")</f>
        <v>#REF!</v>
      </c>
      <c r="C85" t="e">
        <f>AND(#REF!,"AAAAAH8tuwI=")</f>
        <v>#REF!</v>
      </c>
      <c r="D85" t="e">
        <f>AND(#REF!,"AAAAAH8tuwM=")</f>
        <v>#REF!</v>
      </c>
      <c r="E85" t="e">
        <f>AND(#REF!,"AAAAAH8tuwQ=")</f>
        <v>#REF!</v>
      </c>
      <c r="F85" t="e">
        <f>AND(#REF!,"AAAAAH8tuwU=")</f>
        <v>#REF!</v>
      </c>
      <c r="G85" t="e">
        <f>AND(#REF!,"AAAAAH8tuwY=")</f>
        <v>#REF!</v>
      </c>
      <c r="H85" t="e">
        <f>AND(#REF!,"AAAAAH8tuwc=")</f>
        <v>#REF!</v>
      </c>
      <c r="I85" t="e">
        <f>AND(#REF!,"AAAAAH8tuwg=")</f>
        <v>#REF!</v>
      </c>
      <c r="J85" t="e">
        <f>AND(#REF!,"AAAAAH8tuwk=")</f>
        <v>#REF!</v>
      </c>
      <c r="K85" t="e">
        <f>AND(#REF!,"AAAAAH8tuwo=")</f>
        <v>#REF!</v>
      </c>
      <c r="L85" t="e">
        <f>AND(#REF!,"AAAAAH8tuws=")</f>
        <v>#REF!</v>
      </c>
      <c r="M85" t="e">
        <f>AND(#REF!,"AAAAAH8tuww=")</f>
        <v>#REF!</v>
      </c>
      <c r="N85" t="e">
        <f>AND(#REF!,"AAAAAH8tuw0=")</f>
        <v>#REF!</v>
      </c>
      <c r="O85" t="e">
        <f>AND(#REF!,"AAAAAH8tuw4=")</f>
        <v>#REF!</v>
      </c>
      <c r="P85" t="e">
        <f>AND(#REF!,"AAAAAH8tuw8=")</f>
        <v>#REF!</v>
      </c>
      <c r="Q85" t="e">
        <f>AND(#REF!,"AAAAAH8tuxA=")</f>
        <v>#REF!</v>
      </c>
      <c r="R85" t="e">
        <f>AND(#REF!,"AAAAAH8tuxE=")</f>
        <v>#REF!</v>
      </c>
      <c r="S85" t="e">
        <f>AND(#REF!,"AAAAAH8tuxI=")</f>
        <v>#REF!</v>
      </c>
      <c r="T85" t="e">
        <f>AND(#REF!,"AAAAAH8tuxM=")</f>
        <v>#REF!</v>
      </c>
      <c r="U85" t="e">
        <f>AND(#REF!,"AAAAAH8tuxQ=")</f>
        <v>#REF!</v>
      </c>
      <c r="V85" t="e">
        <f>AND(#REF!,"AAAAAH8tuxU=")</f>
        <v>#REF!</v>
      </c>
      <c r="W85" t="e">
        <f>AND(#REF!,"AAAAAH8tuxY=")</f>
        <v>#REF!</v>
      </c>
      <c r="X85" t="e">
        <f>AND(#REF!,"AAAAAH8tuxc=")</f>
        <v>#REF!</v>
      </c>
      <c r="Y85" t="e">
        <f>AND(#REF!,"AAAAAH8tuxg=")</f>
        <v>#REF!</v>
      </c>
      <c r="Z85" t="e">
        <f>AND(#REF!,"AAAAAH8tuxk=")</f>
        <v>#REF!</v>
      </c>
      <c r="AA85" t="e">
        <f>AND(#REF!,"AAAAAH8tuxo=")</f>
        <v>#REF!</v>
      </c>
      <c r="AB85" t="e">
        <f>IF(#REF!,"AAAAAH8tuxs=",0)</f>
        <v>#REF!</v>
      </c>
      <c r="AC85" t="e">
        <f>AND(#REF!,"AAAAAH8tuxw=")</f>
        <v>#REF!</v>
      </c>
      <c r="AD85" t="e">
        <f>AND(#REF!,"AAAAAH8tux0=")</f>
        <v>#REF!</v>
      </c>
      <c r="AE85" t="e">
        <f>AND(#REF!,"AAAAAH8tux4=")</f>
        <v>#REF!</v>
      </c>
      <c r="AF85" t="e">
        <f>AND(#REF!,"AAAAAH8tux8=")</f>
        <v>#REF!</v>
      </c>
      <c r="AG85" t="e">
        <f>AND(#REF!,"AAAAAH8tuyA=")</f>
        <v>#REF!</v>
      </c>
      <c r="AH85" t="e">
        <f>AND(#REF!,"AAAAAH8tuyE=")</f>
        <v>#REF!</v>
      </c>
      <c r="AI85" t="e">
        <f>AND(#REF!,"AAAAAH8tuyI=")</f>
        <v>#REF!</v>
      </c>
      <c r="AJ85" t="e">
        <f>AND(#REF!,"AAAAAH8tuyM=")</f>
        <v>#REF!</v>
      </c>
      <c r="AK85" t="e">
        <f>AND(#REF!,"AAAAAH8tuyQ=")</f>
        <v>#REF!</v>
      </c>
      <c r="AL85" t="e">
        <f>AND(#REF!,"AAAAAH8tuyU=")</f>
        <v>#REF!</v>
      </c>
      <c r="AM85" t="e">
        <f>AND(#REF!,"AAAAAH8tuyY=")</f>
        <v>#REF!</v>
      </c>
      <c r="AN85" t="e">
        <f>AND(#REF!,"AAAAAH8tuyc=")</f>
        <v>#REF!</v>
      </c>
      <c r="AO85" t="e">
        <f>AND(#REF!,"AAAAAH8tuyg=")</f>
        <v>#REF!</v>
      </c>
      <c r="AP85" t="e">
        <f>AND(#REF!,"AAAAAH8tuyk=")</f>
        <v>#REF!</v>
      </c>
      <c r="AQ85" t="e">
        <f>AND(#REF!,"AAAAAH8tuyo=")</f>
        <v>#REF!</v>
      </c>
      <c r="AR85" t="e">
        <f>AND(#REF!,"AAAAAH8tuys=")</f>
        <v>#REF!</v>
      </c>
      <c r="AS85" t="e">
        <f>AND(#REF!,"AAAAAH8tuyw=")</f>
        <v>#REF!</v>
      </c>
      <c r="AT85" t="e">
        <f>AND(#REF!,"AAAAAH8tuy0=")</f>
        <v>#REF!</v>
      </c>
      <c r="AU85" t="e">
        <f>AND(#REF!,"AAAAAH8tuy4=")</f>
        <v>#REF!</v>
      </c>
      <c r="AV85" t="e">
        <f>AND(#REF!,"AAAAAH8tuy8=")</f>
        <v>#REF!</v>
      </c>
      <c r="AW85" t="e">
        <f>AND(#REF!,"AAAAAH8tuzA=")</f>
        <v>#REF!</v>
      </c>
      <c r="AX85" t="e">
        <f>AND(#REF!,"AAAAAH8tuzE=")</f>
        <v>#REF!</v>
      </c>
      <c r="AY85" t="e">
        <f>AND(#REF!,"AAAAAH8tuzI=")</f>
        <v>#REF!</v>
      </c>
      <c r="AZ85" t="e">
        <f>AND(#REF!,"AAAAAH8tuzM=")</f>
        <v>#REF!</v>
      </c>
      <c r="BA85" t="e">
        <f>AND(#REF!,"AAAAAH8tuzQ=")</f>
        <v>#REF!</v>
      </c>
      <c r="BB85" t="e">
        <f>AND(#REF!,"AAAAAH8tuzU=")</f>
        <v>#REF!</v>
      </c>
      <c r="BC85" t="e">
        <f>IF(#REF!,"AAAAAH8tuzY=",0)</f>
        <v>#REF!</v>
      </c>
      <c r="BD85" t="e">
        <f>AND(#REF!,"AAAAAH8tuzc=")</f>
        <v>#REF!</v>
      </c>
      <c r="BE85" t="e">
        <f>AND(#REF!,"AAAAAH8tuzg=")</f>
        <v>#REF!</v>
      </c>
      <c r="BF85" t="e">
        <f>AND(#REF!,"AAAAAH8tuzk=")</f>
        <v>#REF!</v>
      </c>
      <c r="BG85" t="e">
        <f>AND(#REF!,"AAAAAH8tuzo=")</f>
        <v>#REF!</v>
      </c>
      <c r="BH85" t="e">
        <f>AND(#REF!,"AAAAAH8tuzs=")</f>
        <v>#REF!</v>
      </c>
      <c r="BI85" t="e">
        <f>AND(#REF!,"AAAAAH8tuzw=")</f>
        <v>#REF!</v>
      </c>
      <c r="BJ85" t="e">
        <f>AND(#REF!,"AAAAAH8tuz0=")</f>
        <v>#REF!</v>
      </c>
      <c r="BK85" t="e">
        <f>AND(#REF!,"AAAAAH8tuz4=")</f>
        <v>#REF!</v>
      </c>
      <c r="BL85" t="e">
        <f>AND(#REF!,"AAAAAH8tuz8=")</f>
        <v>#REF!</v>
      </c>
      <c r="BM85" t="e">
        <f>AND(#REF!,"AAAAAH8tu0A=")</f>
        <v>#REF!</v>
      </c>
      <c r="BN85" t="e">
        <f>AND(#REF!,"AAAAAH8tu0E=")</f>
        <v>#REF!</v>
      </c>
      <c r="BO85" t="e">
        <f>AND(#REF!,"AAAAAH8tu0I=")</f>
        <v>#REF!</v>
      </c>
      <c r="BP85" t="e">
        <f>AND(#REF!,"AAAAAH8tu0M=")</f>
        <v>#REF!</v>
      </c>
      <c r="BQ85" t="e">
        <f>AND(#REF!,"AAAAAH8tu0Q=")</f>
        <v>#REF!</v>
      </c>
      <c r="BR85" t="e">
        <f>AND(#REF!,"AAAAAH8tu0U=")</f>
        <v>#REF!</v>
      </c>
      <c r="BS85" t="e">
        <f>AND(#REF!,"AAAAAH8tu0Y=")</f>
        <v>#REF!</v>
      </c>
      <c r="BT85" t="e">
        <f>AND(#REF!,"AAAAAH8tu0c=")</f>
        <v>#REF!</v>
      </c>
      <c r="BU85" t="e">
        <f>AND(#REF!,"AAAAAH8tu0g=")</f>
        <v>#REF!</v>
      </c>
      <c r="BV85" t="e">
        <f>AND(#REF!,"AAAAAH8tu0k=")</f>
        <v>#REF!</v>
      </c>
      <c r="BW85" t="e">
        <f>AND(#REF!,"AAAAAH8tu0o=")</f>
        <v>#REF!</v>
      </c>
      <c r="BX85" t="e">
        <f>AND(#REF!,"AAAAAH8tu0s=")</f>
        <v>#REF!</v>
      </c>
      <c r="BY85" t="e">
        <f>AND(#REF!,"AAAAAH8tu0w=")</f>
        <v>#REF!</v>
      </c>
      <c r="BZ85" t="e">
        <f>AND(#REF!,"AAAAAH8tu00=")</f>
        <v>#REF!</v>
      </c>
      <c r="CA85" t="e">
        <f>AND(#REF!,"AAAAAH8tu04=")</f>
        <v>#REF!</v>
      </c>
      <c r="CB85" t="e">
        <f>AND(#REF!,"AAAAAH8tu08=")</f>
        <v>#REF!</v>
      </c>
      <c r="CC85" t="e">
        <f>AND(#REF!,"AAAAAH8tu1A=")</f>
        <v>#REF!</v>
      </c>
      <c r="CD85" t="e">
        <f>IF(#REF!,"AAAAAH8tu1E=",0)</f>
        <v>#REF!</v>
      </c>
      <c r="CE85" t="e">
        <f>AND(#REF!,"AAAAAH8tu1I=")</f>
        <v>#REF!</v>
      </c>
      <c r="CF85" t="e">
        <f>AND(#REF!,"AAAAAH8tu1M=")</f>
        <v>#REF!</v>
      </c>
      <c r="CG85" t="e">
        <f>AND(#REF!,"AAAAAH8tu1Q=")</f>
        <v>#REF!</v>
      </c>
      <c r="CH85" t="e">
        <f>AND(#REF!,"AAAAAH8tu1U=")</f>
        <v>#REF!</v>
      </c>
      <c r="CI85" t="e">
        <f>AND(#REF!,"AAAAAH8tu1Y=")</f>
        <v>#REF!</v>
      </c>
      <c r="CJ85" t="e">
        <f>AND(#REF!,"AAAAAH8tu1c=")</f>
        <v>#REF!</v>
      </c>
      <c r="CK85" t="e">
        <f>AND(#REF!,"AAAAAH8tu1g=")</f>
        <v>#REF!</v>
      </c>
      <c r="CL85" t="e">
        <f>AND(#REF!,"AAAAAH8tu1k=")</f>
        <v>#REF!</v>
      </c>
      <c r="CM85" t="e">
        <f>AND(#REF!,"AAAAAH8tu1o=")</f>
        <v>#REF!</v>
      </c>
      <c r="CN85" t="e">
        <f>AND(#REF!,"AAAAAH8tu1s=")</f>
        <v>#REF!</v>
      </c>
      <c r="CO85" t="e">
        <f>AND(#REF!,"AAAAAH8tu1w=")</f>
        <v>#REF!</v>
      </c>
      <c r="CP85" t="e">
        <f>AND(#REF!,"AAAAAH8tu10=")</f>
        <v>#REF!</v>
      </c>
      <c r="CQ85" t="e">
        <f>AND(#REF!,"AAAAAH8tu14=")</f>
        <v>#REF!</v>
      </c>
      <c r="CR85" t="e">
        <f>AND(#REF!,"AAAAAH8tu18=")</f>
        <v>#REF!</v>
      </c>
      <c r="CS85" t="e">
        <f>AND(#REF!,"AAAAAH8tu2A=")</f>
        <v>#REF!</v>
      </c>
      <c r="CT85" t="e">
        <f>AND(#REF!,"AAAAAH8tu2E=")</f>
        <v>#REF!</v>
      </c>
      <c r="CU85" t="e">
        <f>AND(#REF!,"AAAAAH8tu2I=")</f>
        <v>#REF!</v>
      </c>
      <c r="CV85" t="e">
        <f>AND(#REF!,"AAAAAH8tu2M=")</f>
        <v>#REF!</v>
      </c>
      <c r="CW85" t="e">
        <f>AND(#REF!,"AAAAAH8tu2Q=")</f>
        <v>#REF!</v>
      </c>
      <c r="CX85" t="e">
        <f>AND(#REF!,"AAAAAH8tu2U=")</f>
        <v>#REF!</v>
      </c>
      <c r="CY85" t="e">
        <f>AND(#REF!,"AAAAAH8tu2Y=")</f>
        <v>#REF!</v>
      </c>
      <c r="CZ85" t="e">
        <f>AND(#REF!,"AAAAAH8tu2c=")</f>
        <v>#REF!</v>
      </c>
      <c r="DA85" t="e">
        <f>AND(#REF!,"AAAAAH8tu2g=")</f>
        <v>#REF!</v>
      </c>
      <c r="DB85" t="e">
        <f>AND(#REF!,"AAAAAH8tu2k=")</f>
        <v>#REF!</v>
      </c>
      <c r="DC85" t="e">
        <f>AND(#REF!,"AAAAAH8tu2o=")</f>
        <v>#REF!</v>
      </c>
      <c r="DD85" t="e">
        <f>AND(#REF!,"AAAAAH8tu2s=")</f>
        <v>#REF!</v>
      </c>
      <c r="DE85" t="e">
        <f>IF(#REF!,"AAAAAH8tu2w=",0)</f>
        <v>#REF!</v>
      </c>
      <c r="DF85" t="e">
        <f>AND(#REF!,"AAAAAH8tu20=")</f>
        <v>#REF!</v>
      </c>
      <c r="DG85" t="e">
        <f>AND(#REF!,"AAAAAH8tu24=")</f>
        <v>#REF!</v>
      </c>
      <c r="DH85" t="e">
        <f>AND(#REF!,"AAAAAH8tu28=")</f>
        <v>#REF!</v>
      </c>
      <c r="DI85" t="e">
        <f>AND(#REF!,"AAAAAH8tu3A=")</f>
        <v>#REF!</v>
      </c>
      <c r="DJ85" t="e">
        <f>AND(#REF!,"AAAAAH8tu3E=")</f>
        <v>#REF!</v>
      </c>
      <c r="DK85" t="e">
        <f>AND(#REF!,"AAAAAH8tu3I=")</f>
        <v>#REF!</v>
      </c>
      <c r="DL85" t="e">
        <f>AND(#REF!,"AAAAAH8tu3M=")</f>
        <v>#REF!</v>
      </c>
      <c r="DM85" t="e">
        <f>AND(#REF!,"AAAAAH8tu3Q=")</f>
        <v>#REF!</v>
      </c>
      <c r="DN85" t="e">
        <f>AND(#REF!,"AAAAAH8tu3U=")</f>
        <v>#REF!</v>
      </c>
      <c r="DO85" t="e">
        <f>AND(#REF!,"AAAAAH8tu3Y=")</f>
        <v>#REF!</v>
      </c>
      <c r="DP85" t="e">
        <f>AND(#REF!,"AAAAAH8tu3c=")</f>
        <v>#REF!</v>
      </c>
      <c r="DQ85" t="e">
        <f>AND(#REF!,"AAAAAH8tu3g=")</f>
        <v>#REF!</v>
      </c>
      <c r="DR85" t="e">
        <f>AND(#REF!,"AAAAAH8tu3k=")</f>
        <v>#REF!</v>
      </c>
      <c r="DS85" t="e">
        <f>AND(#REF!,"AAAAAH8tu3o=")</f>
        <v>#REF!</v>
      </c>
      <c r="DT85" t="e">
        <f>AND(#REF!,"AAAAAH8tu3s=")</f>
        <v>#REF!</v>
      </c>
      <c r="DU85" t="e">
        <f>AND(#REF!,"AAAAAH8tu3w=")</f>
        <v>#REF!</v>
      </c>
      <c r="DV85" t="e">
        <f>AND(#REF!,"AAAAAH8tu30=")</f>
        <v>#REF!</v>
      </c>
      <c r="DW85" t="e">
        <f>AND(#REF!,"AAAAAH8tu34=")</f>
        <v>#REF!</v>
      </c>
      <c r="DX85" t="e">
        <f>AND(#REF!,"AAAAAH8tu38=")</f>
        <v>#REF!</v>
      </c>
      <c r="DY85" t="e">
        <f>AND(#REF!,"AAAAAH8tu4A=")</f>
        <v>#REF!</v>
      </c>
      <c r="DZ85" t="e">
        <f>AND(#REF!,"AAAAAH8tu4E=")</f>
        <v>#REF!</v>
      </c>
      <c r="EA85" t="e">
        <f>AND(#REF!,"AAAAAH8tu4I=")</f>
        <v>#REF!</v>
      </c>
      <c r="EB85" t="e">
        <f>AND(#REF!,"AAAAAH8tu4M=")</f>
        <v>#REF!</v>
      </c>
      <c r="EC85" t="e">
        <f>AND(#REF!,"AAAAAH8tu4Q=")</f>
        <v>#REF!</v>
      </c>
      <c r="ED85" t="e">
        <f>AND(#REF!,"AAAAAH8tu4U=")</f>
        <v>#REF!</v>
      </c>
      <c r="EE85" t="e">
        <f>AND(#REF!,"AAAAAH8tu4Y=")</f>
        <v>#REF!</v>
      </c>
      <c r="EF85" t="e">
        <f>IF(#REF!,"AAAAAH8tu4c=",0)</f>
        <v>#REF!</v>
      </c>
      <c r="EG85" t="e">
        <f>AND(#REF!,"AAAAAH8tu4g=")</f>
        <v>#REF!</v>
      </c>
      <c r="EH85" t="e">
        <f>AND(#REF!,"AAAAAH8tu4k=")</f>
        <v>#REF!</v>
      </c>
      <c r="EI85" t="e">
        <f>AND(#REF!,"AAAAAH8tu4o=")</f>
        <v>#REF!</v>
      </c>
      <c r="EJ85" t="e">
        <f>AND(#REF!,"AAAAAH8tu4s=")</f>
        <v>#REF!</v>
      </c>
      <c r="EK85" t="e">
        <f>AND(#REF!,"AAAAAH8tu4w=")</f>
        <v>#REF!</v>
      </c>
      <c r="EL85" t="e">
        <f>AND(#REF!,"AAAAAH8tu40=")</f>
        <v>#REF!</v>
      </c>
      <c r="EM85" t="e">
        <f>AND(#REF!,"AAAAAH8tu44=")</f>
        <v>#REF!</v>
      </c>
      <c r="EN85" t="e">
        <f>AND(#REF!,"AAAAAH8tu48=")</f>
        <v>#REF!</v>
      </c>
      <c r="EO85" t="e">
        <f>AND(#REF!,"AAAAAH8tu5A=")</f>
        <v>#REF!</v>
      </c>
      <c r="EP85" t="e">
        <f>AND(#REF!,"AAAAAH8tu5E=")</f>
        <v>#REF!</v>
      </c>
      <c r="EQ85" t="e">
        <f>AND(#REF!,"AAAAAH8tu5I=")</f>
        <v>#REF!</v>
      </c>
      <c r="ER85" t="e">
        <f>AND(#REF!,"AAAAAH8tu5M=")</f>
        <v>#REF!</v>
      </c>
      <c r="ES85" t="e">
        <f>AND(#REF!,"AAAAAH8tu5Q=")</f>
        <v>#REF!</v>
      </c>
      <c r="ET85" t="e">
        <f>AND(#REF!,"AAAAAH8tu5U=")</f>
        <v>#REF!</v>
      </c>
      <c r="EU85" t="e">
        <f>AND(#REF!,"AAAAAH8tu5Y=")</f>
        <v>#REF!</v>
      </c>
      <c r="EV85" t="e">
        <f>AND(#REF!,"AAAAAH8tu5c=")</f>
        <v>#REF!</v>
      </c>
      <c r="EW85" t="e">
        <f>AND(#REF!,"AAAAAH8tu5g=")</f>
        <v>#REF!</v>
      </c>
      <c r="EX85" t="e">
        <f>AND(#REF!,"AAAAAH8tu5k=")</f>
        <v>#REF!</v>
      </c>
      <c r="EY85" t="e">
        <f>AND(#REF!,"AAAAAH8tu5o=")</f>
        <v>#REF!</v>
      </c>
      <c r="EZ85" t="e">
        <f>AND(#REF!,"AAAAAH8tu5s=")</f>
        <v>#REF!</v>
      </c>
      <c r="FA85" t="e">
        <f>AND(#REF!,"AAAAAH8tu5w=")</f>
        <v>#REF!</v>
      </c>
      <c r="FB85" t="e">
        <f>AND(#REF!,"AAAAAH8tu50=")</f>
        <v>#REF!</v>
      </c>
      <c r="FC85" t="e">
        <f>AND(#REF!,"AAAAAH8tu54=")</f>
        <v>#REF!</v>
      </c>
      <c r="FD85" t="e">
        <f>AND(#REF!,"AAAAAH8tu58=")</f>
        <v>#REF!</v>
      </c>
      <c r="FE85" t="e">
        <f>AND(#REF!,"AAAAAH8tu6A=")</f>
        <v>#REF!</v>
      </c>
      <c r="FF85" t="e">
        <f>AND(#REF!,"AAAAAH8tu6E=")</f>
        <v>#REF!</v>
      </c>
      <c r="FG85" t="e">
        <f>IF(#REF!,"AAAAAH8tu6I=",0)</f>
        <v>#REF!</v>
      </c>
      <c r="FH85" t="e">
        <f>AND(#REF!,"AAAAAH8tu6M=")</f>
        <v>#REF!</v>
      </c>
      <c r="FI85" t="e">
        <f>AND(#REF!,"AAAAAH8tu6Q=")</f>
        <v>#REF!</v>
      </c>
      <c r="FJ85" t="e">
        <f>AND(#REF!,"AAAAAH8tu6U=")</f>
        <v>#REF!</v>
      </c>
      <c r="FK85" t="e">
        <f>AND(#REF!,"AAAAAH8tu6Y=")</f>
        <v>#REF!</v>
      </c>
      <c r="FL85" t="e">
        <f>AND(#REF!,"AAAAAH8tu6c=")</f>
        <v>#REF!</v>
      </c>
      <c r="FM85" t="e">
        <f>AND(#REF!,"AAAAAH8tu6g=")</f>
        <v>#REF!</v>
      </c>
      <c r="FN85" t="e">
        <f>AND(#REF!,"AAAAAH8tu6k=")</f>
        <v>#REF!</v>
      </c>
      <c r="FO85" t="e">
        <f>AND(#REF!,"AAAAAH8tu6o=")</f>
        <v>#REF!</v>
      </c>
      <c r="FP85" t="e">
        <f>AND(#REF!,"AAAAAH8tu6s=")</f>
        <v>#REF!</v>
      </c>
      <c r="FQ85" t="e">
        <f>AND(#REF!,"AAAAAH8tu6w=")</f>
        <v>#REF!</v>
      </c>
      <c r="FR85" t="e">
        <f>AND(#REF!,"AAAAAH8tu60=")</f>
        <v>#REF!</v>
      </c>
      <c r="FS85" t="e">
        <f>AND(#REF!,"AAAAAH8tu64=")</f>
        <v>#REF!</v>
      </c>
      <c r="FT85" t="e">
        <f>AND(#REF!,"AAAAAH8tu68=")</f>
        <v>#REF!</v>
      </c>
      <c r="FU85" t="e">
        <f>AND(#REF!,"AAAAAH8tu7A=")</f>
        <v>#REF!</v>
      </c>
      <c r="FV85" t="e">
        <f>AND(#REF!,"AAAAAH8tu7E=")</f>
        <v>#REF!</v>
      </c>
      <c r="FW85" t="e">
        <f>AND(#REF!,"AAAAAH8tu7I=")</f>
        <v>#REF!</v>
      </c>
      <c r="FX85" t="e">
        <f>AND(#REF!,"AAAAAH8tu7M=")</f>
        <v>#REF!</v>
      </c>
      <c r="FY85" t="e">
        <f>AND(#REF!,"AAAAAH8tu7Q=")</f>
        <v>#REF!</v>
      </c>
      <c r="FZ85" t="e">
        <f>AND(#REF!,"AAAAAH8tu7U=")</f>
        <v>#REF!</v>
      </c>
      <c r="GA85" t="e">
        <f>AND(#REF!,"AAAAAH8tu7Y=")</f>
        <v>#REF!</v>
      </c>
      <c r="GB85" t="e">
        <f>AND(#REF!,"AAAAAH8tu7c=")</f>
        <v>#REF!</v>
      </c>
      <c r="GC85" t="e">
        <f>AND(#REF!,"AAAAAH8tu7g=")</f>
        <v>#REF!</v>
      </c>
      <c r="GD85" t="e">
        <f>AND(#REF!,"AAAAAH8tu7k=")</f>
        <v>#REF!</v>
      </c>
      <c r="GE85" t="e">
        <f>AND(#REF!,"AAAAAH8tu7o=")</f>
        <v>#REF!</v>
      </c>
      <c r="GF85" t="e">
        <f>AND(#REF!,"AAAAAH8tu7s=")</f>
        <v>#REF!</v>
      </c>
      <c r="GG85" t="e">
        <f>AND(#REF!,"AAAAAH8tu7w=")</f>
        <v>#REF!</v>
      </c>
      <c r="GH85" t="e">
        <f>IF(#REF!,"AAAAAH8tu70=",0)</f>
        <v>#REF!</v>
      </c>
      <c r="GI85" t="e">
        <f>AND(#REF!,"AAAAAH8tu74=")</f>
        <v>#REF!</v>
      </c>
      <c r="GJ85" t="e">
        <f>AND(#REF!,"AAAAAH8tu78=")</f>
        <v>#REF!</v>
      </c>
      <c r="GK85" t="e">
        <f>AND(#REF!,"AAAAAH8tu8A=")</f>
        <v>#REF!</v>
      </c>
      <c r="GL85" t="e">
        <f>AND(#REF!,"AAAAAH8tu8E=")</f>
        <v>#REF!</v>
      </c>
      <c r="GM85" t="e">
        <f>AND(#REF!,"AAAAAH8tu8I=")</f>
        <v>#REF!</v>
      </c>
      <c r="GN85" t="e">
        <f>AND(#REF!,"AAAAAH8tu8M=")</f>
        <v>#REF!</v>
      </c>
      <c r="GO85" t="e">
        <f>AND(#REF!,"AAAAAH8tu8Q=")</f>
        <v>#REF!</v>
      </c>
      <c r="GP85" t="e">
        <f>AND(#REF!,"AAAAAH8tu8U=")</f>
        <v>#REF!</v>
      </c>
      <c r="GQ85" t="e">
        <f>AND(#REF!,"AAAAAH8tu8Y=")</f>
        <v>#REF!</v>
      </c>
      <c r="GR85" t="e">
        <f>AND(#REF!,"AAAAAH8tu8c=")</f>
        <v>#REF!</v>
      </c>
      <c r="GS85" t="e">
        <f>AND(#REF!,"AAAAAH8tu8g=")</f>
        <v>#REF!</v>
      </c>
      <c r="GT85" t="e">
        <f>AND(#REF!,"AAAAAH8tu8k=")</f>
        <v>#REF!</v>
      </c>
      <c r="GU85" t="e">
        <f>AND(#REF!,"AAAAAH8tu8o=")</f>
        <v>#REF!</v>
      </c>
      <c r="GV85" t="e">
        <f>AND(#REF!,"AAAAAH8tu8s=")</f>
        <v>#REF!</v>
      </c>
      <c r="GW85" t="e">
        <f>AND(#REF!,"AAAAAH8tu8w=")</f>
        <v>#REF!</v>
      </c>
      <c r="GX85" t="e">
        <f>AND(#REF!,"AAAAAH8tu80=")</f>
        <v>#REF!</v>
      </c>
      <c r="GY85" t="e">
        <f>AND(#REF!,"AAAAAH8tu84=")</f>
        <v>#REF!</v>
      </c>
      <c r="GZ85" t="e">
        <f>AND(#REF!,"AAAAAH8tu88=")</f>
        <v>#REF!</v>
      </c>
      <c r="HA85" t="e">
        <f>AND(#REF!,"AAAAAH8tu9A=")</f>
        <v>#REF!</v>
      </c>
      <c r="HB85" t="e">
        <f>AND(#REF!,"AAAAAH8tu9E=")</f>
        <v>#REF!</v>
      </c>
      <c r="HC85" t="e">
        <f>AND(#REF!,"AAAAAH8tu9I=")</f>
        <v>#REF!</v>
      </c>
      <c r="HD85" t="e">
        <f>AND(#REF!,"AAAAAH8tu9M=")</f>
        <v>#REF!</v>
      </c>
      <c r="HE85" t="e">
        <f>AND(#REF!,"AAAAAH8tu9Q=")</f>
        <v>#REF!</v>
      </c>
      <c r="HF85" t="e">
        <f>AND(#REF!,"AAAAAH8tu9U=")</f>
        <v>#REF!</v>
      </c>
      <c r="HG85" t="e">
        <f>AND(#REF!,"AAAAAH8tu9Y=")</f>
        <v>#REF!</v>
      </c>
      <c r="HH85" t="e">
        <f>AND(#REF!,"AAAAAH8tu9c=")</f>
        <v>#REF!</v>
      </c>
      <c r="HI85" t="e">
        <f>IF(#REF!,"AAAAAH8tu9g=",0)</f>
        <v>#REF!</v>
      </c>
      <c r="HJ85" t="e">
        <f>AND(#REF!,"AAAAAH8tu9k=")</f>
        <v>#REF!</v>
      </c>
      <c r="HK85" t="e">
        <f>AND(#REF!,"AAAAAH8tu9o=")</f>
        <v>#REF!</v>
      </c>
      <c r="HL85" t="e">
        <f>AND(#REF!,"AAAAAH8tu9s=")</f>
        <v>#REF!</v>
      </c>
      <c r="HM85" t="e">
        <f>AND(#REF!,"AAAAAH8tu9w=")</f>
        <v>#REF!</v>
      </c>
      <c r="HN85" t="e">
        <f>AND(#REF!,"AAAAAH8tu90=")</f>
        <v>#REF!</v>
      </c>
      <c r="HO85" t="e">
        <f>AND(#REF!,"AAAAAH8tu94=")</f>
        <v>#REF!</v>
      </c>
      <c r="HP85" t="e">
        <f>AND(#REF!,"AAAAAH8tu98=")</f>
        <v>#REF!</v>
      </c>
      <c r="HQ85" t="e">
        <f>AND(#REF!,"AAAAAH8tu+A=")</f>
        <v>#REF!</v>
      </c>
      <c r="HR85" t="e">
        <f>AND(#REF!,"AAAAAH8tu+E=")</f>
        <v>#REF!</v>
      </c>
      <c r="HS85" t="e">
        <f>AND(#REF!,"AAAAAH8tu+I=")</f>
        <v>#REF!</v>
      </c>
      <c r="HT85" t="e">
        <f>AND(#REF!,"AAAAAH8tu+M=")</f>
        <v>#REF!</v>
      </c>
      <c r="HU85" t="e">
        <f>AND(#REF!,"AAAAAH8tu+Q=")</f>
        <v>#REF!</v>
      </c>
      <c r="HV85" t="e">
        <f>AND(#REF!,"AAAAAH8tu+U=")</f>
        <v>#REF!</v>
      </c>
      <c r="HW85" t="e">
        <f>AND(#REF!,"AAAAAH8tu+Y=")</f>
        <v>#REF!</v>
      </c>
      <c r="HX85" t="e">
        <f>AND(#REF!,"AAAAAH8tu+c=")</f>
        <v>#REF!</v>
      </c>
      <c r="HY85" t="e">
        <f>AND(#REF!,"AAAAAH8tu+g=")</f>
        <v>#REF!</v>
      </c>
      <c r="HZ85" t="e">
        <f>AND(#REF!,"AAAAAH8tu+k=")</f>
        <v>#REF!</v>
      </c>
      <c r="IA85" t="e">
        <f>AND(#REF!,"AAAAAH8tu+o=")</f>
        <v>#REF!</v>
      </c>
      <c r="IB85" t="e">
        <f>AND(#REF!,"AAAAAH8tu+s=")</f>
        <v>#REF!</v>
      </c>
      <c r="IC85" t="e">
        <f>AND(#REF!,"AAAAAH8tu+w=")</f>
        <v>#REF!</v>
      </c>
      <c r="ID85" t="e">
        <f>AND(#REF!,"AAAAAH8tu+0=")</f>
        <v>#REF!</v>
      </c>
      <c r="IE85" t="e">
        <f>AND(#REF!,"AAAAAH8tu+4=")</f>
        <v>#REF!</v>
      </c>
      <c r="IF85" t="e">
        <f>AND(#REF!,"AAAAAH8tu+8=")</f>
        <v>#REF!</v>
      </c>
      <c r="IG85" t="e">
        <f>AND(#REF!,"AAAAAH8tu/A=")</f>
        <v>#REF!</v>
      </c>
      <c r="IH85" t="e">
        <f>AND(#REF!,"AAAAAH8tu/E=")</f>
        <v>#REF!</v>
      </c>
      <c r="II85" t="e">
        <f>AND(#REF!,"AAAAAH8tu/I=")</f>
        <v>#REF!</v>
      </c>
      <c r="IJ85" t="e">
        <f>IF(#REF!,"AAAAAH8tu/M=",0)</f>
        <v>#REF!</v>
      </c>
      <c r="IK85" t="e">
        <f>AND(#REF!,"AAAAAH8tu/Q=")</f>
        <v>#REF!</v>
      </c>
      <c r="IL85" t="e">
        <f>AND(#REF!,"AAAAAH8tu/U=")</f>
        <v>#REF!</v>
      </c>
      <c r="IM85" t="e">
        <f>AND(#REF!,"AAAAAH8tu/Y=")</f>
        <v>#REF!</v>
      </c>
      <c r="IN85" t="e">
        <f>AND(#REF!,"AAAAAH8tu/c=")</f>
        <v>#REF!</v>
      </c>
      <c r="IO85" t="e">
        <f>AND(#REF!,"AAAAAH8tu/g=")</f>
        <v>#REF!</v>
      </c>
      <c r="IP85" t="e">
        <f>AND(#REF!,"AAAAAH8tu/k=")</f>
        <v>#REF!</v>
      </c>
      <c r="IQ85" t="e">
        <f>AND(#REF!,"AAAAAH8tu/o=")</f>
        <v>#REF!</v>
      </c>
      <c r="IR85" t="e">
        <f>AND(#REF!,"AAAAAH8tu/s=")</f>
        <v>#REF!</v>
      </c>
      <c r="IS85" t="e">
        <f>AND(#REF!,"AAAAAH8tu/w=")</f>
        <v>#REF!</v>
      </c>
      <c r="IT85" t="e">
        <f>AND(#REF!,"AAAAAH8tu/0=")</f>
        <v>#REF!</v>
      </c>
      <c r="IU85" t="e">
        <f>AND(#REF!,"AAAAAH8tu/4=")</f>
        <v>#REF!</v>
      </c>
      <c r="IV85" t="e">
        <f>AND(#REF!,"AAAAAH8tu/8=")</f>
        <v>#REF!</v>
      </c>
    </row>
    <row r="86" spans="1:256" x14ac:dyDescent="0.2">
      <c r="A86" t="e">
        <f>AND(#REF!,"AAAAAET//wA=")</f>
        <v>#REF!</v>
      </c>
      <c r="B86" t="e">
        <f>AND(#REF!,"AAAAAET//wE=")</f>
        <v>#REF!</v>
      </c>
      <c r="C86" t="e">
        <f>AND(#REF!,"AAAAAET//wI=")</f>
        <v>#REF!</v>
      </c>
      <c r="D86" t="e">
        <f>AND(#REF!,"AAAAAET//wM=")</f>
        <v>#REF!</v>
      </c>
      <c r="E86" t="e">
        <f>AND(#REF!,"AAAAAET//wQ=")</f>
        <v>#REF!</v>
      </c>
      <c r="F86" t="e">
        <f>AND(#REF!,"AAAAAET//wU=")</f>
        <v>#REF!</v>
      </c>
      <c r="G86" t="e">
        <f>AND(#REF!,"AAAAAET//wY=")</f>
        <v>#REF!</v>
      </c>
      <c r="H86" t="e">
        <f>AND(#REF!,"AAAAAET//wc=")</f>
        <v>#REF!</v>
      </c>
      <c r="I86" t="e">
        <f>AND(#REF!,"AAAAAET//wg=")</f>
        <v>#REF!</v>
      </c>
      <c r="J86" t="e">
        <f>AND(#REF!,"AAAAAET//wk=")</f>
        <v>#REF!</v>
      </c>
      <c r="K86" t="e">
        <f>AND(#REF!,"AAAAAET//wo=")</f>
        <v>#REF!</v>
      </c>
      <c r="L86" t="e">
        <f>AND(#REF!,"AAAAAET//ws=")</f>
        <v>#REF!</v>
      </c>
      <c r="M86" t="e">
        <f>AND(#REF!,"AAAAAET//ww=")</f>
        <v>#REF!</v>
      </c>
      <c r="N86" t="e">
        <f>AND(#REF!,"AAAAAET//w0=")</f>
        <v>#REF!</v>
      </c>
      <c r="O86" t="e">
        <f>IF(#REF!,"AAAAAET//w4=",0)</f>
        <v>#REF!</v>
      </c>
      <c r="P86" t="e">
        <f>AND(#REF!,"AAAAAET//w8=")</f>
        <v>#REF!</v>
      </c>
      <c r="Q86" t="e">
        <f>AND(#REF!,"AAAAAET//xA=")</f>
        <v>#REF!</v>
      </c>
      <c r="R86" t="e">
        <f>AND(#REF!,"AAAAAET//xE=")</f>
        <v>#REF!</v>
      </c>
      <c r="S86" t="e">
        <f>AND(#REF!,"AAAAAET//xI=")</f>
        <v>#REF!</v>
      </c>
      <c r="T86" t="e">
        <f>AND(#REF!,"AAAAAET//xM=")</f>
        <v>#REF!</v>
      </c>
      <c r="U86" t="e">
        <f>AND(#REF!,"AAAAAET//xQ=")</f>
        <v>#REF!</v>
      </c>
      <c r="V86" t="e">
        <f>AND(#REF!,"AAAAAET//xU=")</f>
        <v>#REF!</v>
      </c>
      <c r="W86" t="e">
        <f>AND(#REF!,"AAAAAET//xY=")</f>
        <v>#REF!</v>
      </c>
      <c r="X86" t="e">
        <f>AND(#REF!,"AAAAAET//xc=")</f>
        <v>#REF!</v>
      </c>
      <c r="Y86" t="e">
        <f>AND(#REF!,"AAAAAET//xg=")</f>
        <v>#REF!</v>
      </c>
      <c r="Z86" t="e">
        <f>AND(#REF!,"AAAAAET//xk=")</f>
        <v>#REF!</v>
      </c>
      <c r="AA86" t="e">
        <f>AND(#REF!,"AAAAAET//xo=")</f>
        <v>#REF!</v>
      </c>
      <c r="AB86" t="e">
        <f>AND(#REF!,"AAAAAET//xs=")</f>
        <v>#REF!</v>
      </c>
      <c r="AC86" t="e">
        <f>AND(#REF!,"AAAAAET//xw=")</f>
        <v>#REF!</v>
      </c>
      <c r="AD86" t="e">
        <f>AND(#REF!,"AAAAAET//x0=")</f>
        <v>#REF!</v>
      </c>
      <c r="AE86" t="e">
        <f>AND(#REF!,"AAAAAET//x4=")</f>
        <v>#REF!</v>
      </c>
      <c r="AF86" t="e">
        <f>AND(#REF!,"AAAAAET//x8=")</f>
        <v>#REF!</v>
      </c>
      <c r="AG86" t="e">
        <f>AND(#REF!,"AAAAAET//yA=")</f>
        <v>#REF!</v>
      </c>
      <c r="AH86" t="e">
        <f>AND(#REF!,"AAAAAET//yE=")</f>
        <v>#REF!</v>
      </c>
      <c r="AI86" t="e">
        <f>AND(#REF!,"AAAAAET//yI=")</f>
        <v>#REF!</v>
      </c>
      <c r="AJ86" t="e">
        <f>AND(#REF!,"AAAAAET//yM=")</f>
        <v>#REF!</v>
      </c>
      <c r="AK86" t="e">
        <f>AND(#REF!,"AAAAAET//yQ=")</f>
        <v>#REF!</v>
      </c>
      <c r="AL86" t="e">
        <f>AND(#REF!,"AAAAAET//yU=")</f>
        <v>#REF!</v>
      </c>
      <c r="AM86" t="e">
        <f>AND(#REF!,"AAAAAET//yY=")</f>
        <v>#REF!</v>
      </c>
      <c r="AN86" t="e">
        <f>AND(#REF!,"AAAAAET//yc=")</f>
        <v>#REF!</v>
      </c>
      <c r="AO86" t="e">
        <f>AND(#REF!,"AAAAAET//yg=")</f>
        <v>#REF!</v>
      </c>
      <c r="AP86" t="e">
        <f>IF(#REF!,"AAAAAET//yk=",0)</f>
        <v>#REF!</v>
      </c>
      <c r="AQ86" t="e">
        <f>AND(#REF!,"AAAAAET//yo=")</f>
        <v>#REF!</v>
      </c>
      <c r="AR86" t="e">
        <f>AND(#REF!,"AAAAAET//ys=")</f>
        <v>#REF!</v>
      </c>
      <c r="AS86" t="e">
        <f>AND(#REF!,"AAAAAET//yw=")</f>
        <v>#REF!</v>
      </c>
      <c r="AT86" t="e">
        <f>AND(#REF!,"AAAAAET//y0=")</f>
        <v>#REF!</v>
      </c>
      <c r="AU86" t="e">
        <f>AND(#REF!,"AAAAAET//y4=")</f>
        <v>#REF!</v>
      </c>
      <c r="AV86" t="e">
        <f>AND(#REF!,"AAAAAET//y8=")</f>
        <v>#REF!</v>
      </c>
      <c r="AW86" t="e">
        <f>AND(#REF!,"AAAAAET//zA=")</f>
        <v>#REF!</v>
      </c>
      <c r="AX86" t="e">
        <f>AND(#REF!,"AAAAAET//zE=")</f>
        <v>#REF!</v>
      </c>
      <c r="AY86" t="e">
        <f>AND(#REF!,"AAAAAET//zI=")</f>
        <v>#REF!</v>
      </c>
      <c r="AZ86" t="e">
        <f>AND(#REF!,"AAAAAET//zM=")</f>
        <v>#REF!</v>
      </c>
      <c r="BA86" t="e">
        <f>AND(#REF!,"AAAAAET//zQ=")</f>
        <v>#REF!</v>
      </c>
      <c r="BB86" t="e">
        <f>AND(#REF!,"AAAAAET//zU=")</f>
        <v>#REF!</v>
      </c>
      <c r="BC86" t="e">
        <f>AND(#REF!,"AAAAAET//zY=")</f>
        <v>#REF!</v>
      </c>
      <c r="BD86" t="e">
        <f>AND(#REF!,"AAAAAET//zc=")</f>
        <v>#REF!</v>
      </c>
      <c r="BE86" t="e">
        <f>AND(#REF!,"AAAAAET//zg=")</f>
        <v>#REF!</v>
      </c>
      <c r="BF86" t="e">
        <f>AND(#REF!,"AAAAAET//zk=")</f>
        <v>#REF!</v>
      </c>
      <c r="BG86" t="e">
        <f>AND(#REF!,"AAAAAET//zo=")</f>
        <v>#REF!</v>
      </c>
      <c r="BH86" t="e">
        <f>AND(#REF!,"AAAAAET//zs=")</f>
        <v>#REF!</v>
      </c>
      <c r="BI86" t="e">
        <f>AND(#REF!,"AAAAAET//zw=")</f>
        <v>#REF!</v>
      </c>
      <c r="BJ86" t="e">
        <f>AND(#REF!,"AAAAAET//z0=")</f>
        <v>#REF!</v>
      </c>
      <c r="BK86" t="e">
        <f>AND(#REF!,"AAAAAET//z4=")</f>
        <v>#REF!</v>
      </c>
      <c r="BL86" t="e">
        <f>AND(#REF!,"AAAAAET//z8=")</f>
        <v>#REF!</v>
      </c>
      <c r="BM86" t="e">
        <f>AND(#REF!,"AAAAAET//0A=")</f>
        <v>#REF!</v>
      </c>
      <c r="BN86" t="e">
        <f>AND(#REF!,"AAAAAET//0E=")</f>
        <v>#REF!</v>
      </c>
      <c r="BO86" t="e">
        <f>AND(#REF!,"AAAAAET//0I=")</f>
        <v>#REF!</v>
      </c>
      <c r="BP86" t="e">
        <f>AND(#REF!,"AAAAAET//0M=")</f>
        <v>#REF!</v>
      </c>
      <c r="BQ86" t="e">
        <f>IF(#REF!,"AAAAAET//0Q=",0)</f>
        <v>#REF!</v>
      </c>
      <c r="BR86" t="e">
        <f>AND(#REF!,"AAAAAET//0U=")</f>
        <v>#REF!</v>
      </c>
      <c r="BS86" t="e">
        <f>AND(#REF!,"AAAAAET//0Y=")</f>
        <v>#REF!</v>
      </c>
      <c r="BT86" t="e">
        <f>AND(#REF!,"AAAAAET//0c=")</f>
        <v>#REF!</v>
      </c>
      <c r="BU86" t="e">
        <f>AND(#REF!,"AAAAAET//0g=")</f>
        <v>#REF!</v>
      </c>
      <c r="BV86" t="e">
        <f>AND(#REF!,"AAAAAET//0k=")</f>
        <v>#REF!</v>
      </c>
      <c r="BW86" t="e">
        <f>AND(#REF!,"AAAAAET//0o=")</f>
        <v>#REF!</v>
      </c>
      <c r="BX86" t="e">
        <f>AND(#REF!,"AAAAAET//0s=")</f>
        <v>#REF!</v>
      </c>
      <c r="BY86" t="e">
        <f>AND(#REF!,"AAAAAET//0w=")</f>
        <v>#REF!</v>
      </c>
      <c r="BZ86" t="e">
        <f>AND(#REF!,"AAAAAET//00=")</f>
        <v>#REF!</v>
      </c>
      <c r="CA86" t="e">
        <f>AND(#REF!,"AAAAAET//04=")</f>
        <v>#REF!</v>
      </c>
      <c r="CB86" t="e">
        <f>AND(#REF!,"AAAAAET//08=")</f>
        <v>#REF!</v>
      </c>
      <c r="CC86" t="e">
        <f>AND(#REF!,"AAAAAET//1A=")</f>
        <v>#REF!</v>
      </c>
      <c r="CD86" t="e">
        <f>AND(#REF!,"AAAAAET//1E=")</f>
        <v>#REF!</v>
      </c>
      <c r="CE86" t="e">
        <f>AND(#REF!,"AAAAAET//1I=")</f>
        <v>#REF!</v>
      </c>
      <c r="CF86" t="e">
        <f>AND(#REF!,"AAAAAET//1M=")</f>
        <v>#REF!</v>
      </c>
      <c r="CG86" t="e">
        <f>AND(#REF!,"AAAAAET//1Q=")</f>
        <v>#REF!</v>
      </c>
      <c r="CH86" t="e">
        <f>AND(#REF!,"AAAAAET//1U=")</f>
        <v>#REF!</v>
      </c>
      <c r="CI86" t="e">
        <f>AND(#REF!,"AAAAAET//1Y=")</f>
        <v>#REF!</v>
      </c>
      <c r="CJ86" t="e">
        <f>AND(#REF!,"AAAAAET//1c=")</f>
        <v>#REF!</v>
      </c>
      <c r="CK86" t="e">
        <f>AND(#REF!,"AAAAAET//1g=")</f>
        <v>#REF!</v>
      </c>
      <c r="CL86" t="e">
        <f>AND(#REF!,"AAAAAET//1k=")</f>
        <v>#REF!</v>
      </c>
      <c r="CM86" t="e">
        <f>AND(#REF!,"AAAAAET//1o=")</f>
        <v>#REF!</v>
      </c>
      <c r="CN86" t="e">
        <f>AND(#REF!,"AAAAAET//1s=")</f>
        <v>#REF!</v>
      </c>
      <c r="CO86" t="e">
        <f>AND(#REF!,"AAAAAET//1w=")</f>
        <v>#REF!</v>
      </c>
      <c r="CP86" t="e">
        <f>AND(#REF!,"AAAAAET//10=")</f>
        <v>#REF!</v>
      </c>
      <c r="CQ86" t="e">
        <f>AND(#REF!,"AAAAAET//14=")</f>
        <v>#REF!</v>
      </c>
      <c r="CR86" t="e">
        <f>IF(#REF!,"AAAAAET//18=",0)</f>
        <v>#REF!</v>
      </c>
      <c r="CS86" t="e">
        <f>AND(#REF!,"AAAAAET//2A=")</f>
        <v>#REF!</v>
      </c>
      <c r="CT86" t="e">
        <f>AND(#REF!,"AAAAAET//2E=")</f>
        <v>#REF!</v>
      </c>
      <c r="CU86" t="e">
        <f>AND(#REF!,"AAAAAET//2I=")</f>
        <v>#REF!</v>
      </c>
      <c r="CV86" t="e">
        <f>AND(#REF!,"AAAAAET//2M=")</f>
        <v>#REF!</v>
      </c>
      <c r="CW86" t="e">
        <f>AND(#REF!,"AAAAAET//2Q=")</f>
        <v>#REF!</v>
      </c>
      <c r="CX86" t="e">
        <f>AND(#REF!,"AAAAAET//2U=")</f>
        <v>#REF!</v>
      </c>
      <c r="CY86" t="e">
        <f>AND(#REF!,"AAAAAET//2Y=")</f>
        <v>#REF!</v>
      </c>
      <c r="CZ86" t="e">
        <f>AND(#REF!,"AAAAAET//2c=")</f>
        <v>#REF!</v>
      </c>
      <c r="DA86" t="e">
        <f>AND(#REF!,"AAAAAET//2g=")</f>
        <v>#REF!</v>
      </c>
      <c r="DB86" t="e">
        <f>AND(#REF!,"AAAAAET//2k=")</f>
        <v>#REF!</v>
      </c>
      <c r="DC86" t="e">
        <f>AND(#REF!,"AAAAAET//2o=")</f>
        <v>#REF!</v>
      </c>
      <c r="DD86" t="e">
        <f>AND(#REF!,"AAAAAET//2s=")</f>
        <v>#REF!</v>
      </c>
      <c r="DE86" t="e">
        <f>AND(#REF!,"AAAAAET//2w=")</f>
        <v>#REF!</v>
      </c>
      <c r="DF86" t="e">
        <f>AND(#REF!,"AAAAAET//20=")</f>
        <v>#REF!</v>
      </c>
      <c r="DG86" t="e">
        <f>AND(#REF!,"AAAAAET//24=")</f>
        <v>#REF!</v>
      </c>
      <c r="DH86" t="e">
        <f>AND(#REF!,"AAAAAET//28=")</f>
        <v>#REF!</v>
      </c>
      <c r="DI86" t="e">
        <f>AND(#REF!,"AAAAAET//3A=")</f>
        <v>#REF!</v>
      </c>
      <c r="DJ86" t="e">
        <f>AND(#REF!,"AAAAAET//3E=")</f>
        <v>#REF!</v>
      </c>
      <c r="DK86" t="e">
        <f>AND(#REF!,"AAAAAET//3I=")</f>
        <v>#REF!</v>
      </c>
      <c r="DL86" t="e">
        <f>AND(#REF!,"AAAAAET//3M=")</f>
        <v>#REF!</v>
      </c>
      <c r="DM86" t="e">
        <f>AND(#REF!,"AAAAAET//3Q=")</f>
        <v>#REF!</v>
      </c>
      <c r="DN86" t="e">
        <f>AND(#REF!,"AAAAAET//3U=")</f>
        <v>#REF!</v>
      </c>
      <c r="DO86" t="e">
        <f>AND(#REF!,"AAAAAET//3Y=")</f>
        <v>#REF!</v>
      </c>
      <c r="DP86" t="e">
        <f>AND(#REF!,"AAAAAET//3c=")</f>
        <v>#REF!</v>
      </c>
      <c r="DQ86" t="e">
        <f>AND(#REF!,"AAAAAET//3g=")</f>
        <v>#REF!</v>
      </c>
      <c r="DR86" t="e">
        <f>AND(#REF!,"AAAAAET//3k=")</f>
        <v>#REF!</v>
      </c>
      <c r="DS86" t="e">
        <f>IF(#REF!,"AAAAAET//3o=",0)</f>
        <v>#REF!</v>
      </c>
      <c r="DT86" t="e">
        <f>AND(#REF!,"AAAAAET//3s=")</f>
        <v>#REF!</v>
      </c>
      <c r="DU86" t="e">
        <f>AND(#REF!,"AAAAAET//3w=")</f>
        <v>#REF!</v>
      </c>
      <c r="DV86" t="e">
        <f>AND(#REF!,"AAAAAET//30=")</f>
        <v>#REF!</v>
      </c>
      <c r="DW86" t="e">
        <f>AND(#REF!,"AAAAAET//34=")</f>
        <v>#REF!</v>
      </c>
      <c r="DX86" t="e">
        <f>AND(#REF!,"AAAAAET//38=")</f>
        <v>#REF!</v>
      </c>
      <c r="DY86" t="e">
        <f>AND(#REF!,"AAAAAET//4A=")</f>
        <v>#REF!</v>
      </c>
      <c r="DZ86" t="e">
        <f>AND(#REF!,"AAAAAET//4E=")</f>
        <v>#REF!</v>
      </c>
      <c r="EA86" t="e">
        <f>AND(#REF!,"AAAAAET//4I=")</f>
        <v>#REF!</v>
      </c>
      <c r="EB86" t="e">
        <f>AND(#REF!,"AAAAAET//4M=")</f>
        <v>#REF!</v>
      </c>
      <c r="EC86" t="e">
        <f>AND(#REF!,"AAAAAET//4Q=")</f>
        <v>#REF!</v>
      </c>
      <c r="ED86" t="e">
        <f>AND(#REF!,"AAAAAET//4U=")</f>
        <v>#REF!</v>
      </c>
      <c r="EE86" t="e">
        <f>AND(#REF!,"AAAAAET//4Y=")</f>
        <v>#REF!</v>
      </c>
      <c r="EF86" t="e">
        <f>AND(#REF!,"AAAAAET//4c=")</f>
        <v>#REF!</v>
      </c>
      <c r="EG86" t="e">
        <f>AND(#REF!,"AAAAAET//4g=")</f>
        <v>#REF!</v>
      </c>
      <c r="EH86" t="e">
        <f>AND(#REF!,"AAAAAET//4k=")</f>
        <v>#REF!</v>
      </c>
      <c r="EI86" t="e">
        <f>AND(#REF!,"AAAAAET//4o=")</f>
        <v>#REF!</v>
      </c>
      <c r="EJ86" t="e">
        <f>AND(#REF!,"AAAAAET//4s=")</f>
        <v>#REF!</v>
      </c>
      <c r="EK86" t="e">
        <f>AND(#REF!,"AAAAAET//4w=")</f>
        <v>#REF!</v>
      </c>
      <c r="EL86" t="e">
        <f>AND(#REF!,"AAAAAET//40=")</f>
        <v>#REF!</v>
      </c>
      <c r="EM86" t="e">
        <f>AND(#REF!,"AAAAAET//44=")</f>
        <v>#REF!</v>
      </c>
      <c r="EN86" t="e">
        <f>AND(#REF!,"AAAAAET//48=")</f>
        <v>#REF!</v>
      </c>
      <c r="EO86" t="e">
        <f>AND(#REF!,"AAAAAET//5A=")</f>
        <v>#REF!</v>
      </c>
      <c r="EP86" t="e">
        <f>AND(#REF!,"AAAAAET//5E=")</f>
        <v>#REF!</v>
      </c>
      <c r="EQ86" t="e">
        <f>AND(#REF!,"AAAAAET//5I=")</f>
        <v>#REF!</v>
      </c>
      <c r="ER86" t="e">
        <f>AND(#REF!,"AAAAAET//5M=")</f>
        <v>#REF!</v>
      </c>
      <c r="ES86" t="e">
        <f>AND(#REF!,"AAAAAET//5Q=")</f>
        <v>#REF!</v>
      </c>
      <c r="ET86" t="e">
        <f>IF(#REF!,"AAAAAET//5U=",0)</f>
        <v>#REF!</v>
      </c>
      <c r="EU86" t="e">
        <f>AND(#REF!,"AAAAAET//5Y=")</f>
        <v>#REF!</v>
      </c>
      <c r="EV86" t="e">
        <f>AND(#REF!,"AAAAAET//5c=")</f>
        <v>#REF!</v>
      </c>
      <c r="EW86" t="e">
        <f>AND(#REF!,"AAAAAET//5g=")</f>
        <v>#REF!</v>
      </c>
      <c r="EX86" t="e">
        <f>AND(#REF!,"AAAAAET//5k=")</f>
        <v>#REF!</v>
      </c>
      <c r="EY86" t="e">
        <f>AND(#REF!,"AAAAAET//5o=")</f>
        <v>#REF!</v>
      </c>
      <c r="EZ86" t="e">
        <f>AND(#REF!,"AAAAAET//5s=")</f>
        <v>#REF!</v>
      </c>
      <c r="FA86" t="e">
        <f>AND(#REF!,"AAAAAET//5w=")</f>
        <v>#REF!</v>
      </c>
      <c r="FB86" t="e">
        <f>AND(#REF!,"AAAAAET//50=")</f>
        <v>#REF!</v>
      </c>
      <c r="FC86" t="e">
        <f>AND(#REF!,"AAAAAET//54=")</f>
        <v>#REF!</v>
      </c>
      <c r="FD86" t="e">
        <f>AND(#REF!,"AAAAAET//58=")</f>
        <v>#REF!</v>
      </c>
      <c r="FE86" t="e">
        <f>AND(#REF!,"AAAAAET//6A=")</f>
        <v>#REF!</v>
      </c>
      <c r="FF86" t="e">
        <f>AND(#REF!,"AAAAAET//6E=")</f>
        <v>#REF!</v>
      </c>
      <c r="FG86" t="e">
        <f>AND(#REF!,"AAAAAET//6I=")</f>
        <v>#REF!</v>
      </c>
      <c r="FH86" t="e">
        <f>AND(#REF!,"AAAAAET//6M=")</f>
        <v>#REF!</v>
      </c>
      <c r="FI86" t="e">
        <f>AND(#REF!,"AAAAAET//6Q=")</f>
        <v>#REF!</v>
      </c>
      <c r="FJ86" t="e">
        <f>AND(#REF!,"AAAAAET//6U=")</f>
        <v>#REF!</v>
      </c>
      <c r="FK86" t="e">
        <f>AND(#REF!,"AAAAAET//6Y=")</f>
        <v>#REF!</v>
      </c>
      <c r="FL86" t="e">
        <f>AND(#REF!,"AAAAAET//6c=")</f>
        <v>#REF!</v>
      </c>
      <c r="FM86" t="e">
        <f>AND(#REF!,"AAAAAET//6g=")</f>
        <v>#REF!</v>
      </c>
      <c r="FN86" t="e">
        <f>AND(#REF!,"AAAAAET//6k=")</f>
        <v>#REF!</v>
      </c>
      <c r="FO86" t="e">
        <f>AND(#REF!,"AAAAAET//6o=")</f>
        <v>#REF!</v>
      </c>
      <c r="FP86" t="e">
        <f>AND(#REF!,"AAAAAET//6s=")</f>
        <v>#REF!</v>
      </c>
      <c r="FQ86" t="e">
        <f>AND(#REF!,"AAAAAET//6w=")</f>
        <v>#REF!</v>
      </c>
      <c r="FR86" t="e">
        <f>AND(#REF!,"AAAAAET//60=")</f>
        <v>#REF!</v>
      </c>
      <c r="FS86" t="e">
        <f>AND(#REF!,"AAAAAET//64=")</f>
        <v>#REF!</v>
      </c>
      <c r="FT86" t="e">
        <f>AND(#REF!,"AAAAAET//68=")</f>
        <v>#REF!</v>
      </c>
      <c r="FU86" t="e">
        <f>IF(#REF!,"AAAAAET//7A=",0)</f>
        <v>#REF!</v>
      </c>
      <c r="FV86" t="e">
        <f>AND(#REF!,"AAAAAET//7E=")</f>
        <v>#REF!</v>
      </c>
      <c r="FW86" t="e">
        <f>AND(#REF!,"AAAAAET//7I=")</f>
        <v>#REF!</v>
      </c>
      <c r="FX86" t="e">
        <f>AND(#REF!,"AAAAAET//7M=")</f>
        <v>#REF!</v>
      </c>
      <c r="FY86" t="e">
        <f>AND(#REF!,"AAAAAET//7Q=")</f>
        <v>#REF!</v>
      </c>
      <c r="FZ86" t="e">
        <f>AND(#REF!,"AAAAAET//7U=")</f>
        <v>#REF!</v>
      </c>
      <c r="GA86" t="e">
        <f>AND(#REF!,"AAAAAET//7Y=")</f>
        <v>#REF!</v>
      </c>
      <c r="GB86" t="e">
        <f>AND(#REF!,"AAAAAET//7c=")</f>
        <v>#REF!</v>
      </c>
      <c r="GC86" t="e">
        <f>AND(#REF!,"AAAAAET//7g=")</f>
        <v>#REF!</v>
      </c>
      <c r="GD86" t="e">
        <f>AND(#REF!,"AAAAAET//7k=")</f>
        <v>#REF!</v>
      </c>
      <c r="GE86" t="e">
        <f>AND(#REF!,"AAAAAET//7o=")</f>
        <v>#REF!</v>
      </c>
      <c r="GF86" t="e">
        <f>AND(#REF!,"AAAAAET//7s=")</f>
        <v>#REF!</v>
      </c>
      <c r="GG86" t="e">
        <f>AND(#REF!,"AAAAAET//7w=")</f>
        <v>#REF!</v>
      </c>
      <c r="GH86" t="e">
        <f>AND(#REF!,"AAAAAET//70=")</f>
        <v>#REF!</v>
      </c>
      <c r="GI86" t="e">
        <f>AND(#REF!,"AAAAAET//74=")</f>
        <v>#REF!</v>
      </c>
      <c r="GJ86" t="e">
        <f>AND(#REF!,"AAAAAET//78=")</f>
        <v>#REF!</v>
      </c>
      <c r="GK86" t="e">
        <f>AND(#REF!,"AAAAAET//8A=")</f>
        <v>#REF!</v>
      </c>
      <c r="GL86" t="e">
        <f>AND(#REF!,"AAAAAET//8E=")</f>
        <v>#REF!</v>
      </c>
      <c r="GM86" t="e">
        <f>AND(#REF!,"AAAAAET//8I=")</f>
        <v>#REF!</v>
      </c>
      <c r="GN86" t="e">
        <f>AND(#REF!,"AAAAAET//8M=")</f>
        <v>#REF!</v>
      </c>
      <c r="GO86" t="e">
        <f>AND(#REF!,"AAAAAET//8Q=")</f>
        <v>#REF!</v>
      </c>
      <c r="GP86" t="e">
        <f>AND(#REF!,"AAAAAET//8U=")</f>
        <v>#REF!</v>
      </c>
      <c r="GQ86" t="e">
        <f>AND(#REF!,"AAAAAET//8Y=")</f>
        <v>#REF!</v>
      </c>
      <c r="GR86" t="e">
        <f>AND(#REF!,"AAAAAET//8c=")</f>
        <v>#REF!</v>
      </c>
      <c r="GS86" t="e">
        <f>AND(#REF!,"AAAAAET//8g=")</f>
        <v>#REF!</v>
      </c>
      <c r="GT86" t="e">
        <f>AND(#REF!,"AAAAAET//8k=")</f>
        <v>#REF!</v>
      </c>
      <c r="GU86" t="e">
        <f>AND(#REF!,"AAAAAET//8o=")</f>
        <v>#REF!</v>
      </c>
      <c r="GV86" t="e">
        <f>IF(#REF!,"AAAAAET//8s=",0)</f>
        <v>#REF!</v>
      </c>
      <c r="GW86" t="e">
        <f>AND(#REF!,"AAAAAET//8w=")</f>
        <v>#REF!</v>
      </c>
      <c r="GX86" t="e">
        <f>AND(#REF!,"AAAAAET//80=")</f>
        <v>#REF!</v>
      </c>
      <c r="GY86" t="e">
        <f>AND(#REF!,"AAAAAET//84=")</f>
        <v>#REF!</v>
      </c>
      <c r="GZ86" t="e">
        <f>AND(#REF!,"AAAAAET//88=")</f>
        <v>#REF!</v>
      </c>
      <c r="HA86" t="e">
        <f>AND(#REF!,"AAAAAET//9A=")</f>
        <v>#REF!</v>
      </c>
      <c r="HB86" t="e">
        <f>AND(#REF!,"AAAAAET//9E=")</f>
        <v>#REF!</v>
      </c>
      <c r="HC86" t="e">
        <f>AND(#REF!,"AAAAAET//9I=")</f>
        <v>#REF!</v>
      </c>
      <c r="HD86" t="e">
        <f>AND(#REF!,"AAAAAET//9M=")</f>
        <v>#REF!</v>
      </c>
      <c r="HE86" t="e">
        <f>AND(#REF!,"AAAAAET//9Q=")</f>
        <v>#REF!</v>
      </c>
      <c r="HF86" t="e">
        <f>AND(#REF!,"AAAAAET//9U=")</f>
        <v>#REF!</v>
      </c>
      <c r="HG86" t="e">
        <f>AND(#REF!,"AAAAAET//9Y=")</f>
        <v>#REF!</v>
      </c>
      <c r="HH86" t="e">
        <f>AND(#REF!,"AAAAAET//9c=")</f>
        <v>#REF!</v>
      </c>
      <c r="HI86" t="e">
        <f>AND(#REF!,"AAAAAET//9g=")</f>
        <v>#REF!</v>
      </c>
      <c r="HJ86" t="e">
        <f>AND(#REF!,"AAAAAET//9k=")</f>
        <v>#REF!</v>
      </c>
      <c r="HK86" t="e">
        <f>AND(#REF!,"AAAAAET//9o=")</f>
        <v>#REF!</v>
      </c>
      <c r="HL86" t="e">
        <f>AND(#REF!,"AAAAAET//9s=")</f>
        <v>#REF!</v>
      </c>
      <c r="HM86" t="e">
        <f>AND(#REF!,"AAAAAET//9w=")</f>
        <v>#REF!</v>
      </c>
      <c r="HN86" t="e">
        <f>AND(#REF!,"AAAAAET//90=")</f>
        <v>#REF!</v>
      </c>
      <c r="HO86" t="e">
        <f>AND(#REF!,"AAAAAET//94=")</f>
        <v>#REF!</v>
      </c>
      <c r="HP86" t="e">
        <f>AND(#REF!,"AAAAAET//98=")</f>
        <v>#REF!</v>
      </c>
      <c r="HQ86" t="e">
        <f>AND(#REF!,"AAAAAET//+A=")</f>
        <v>#REF!</v>
      </c>
      <c r="HR86" t="e">
        <f>AND(#REF!,"AAAAAET//+E=")</f>
        <v>#REF!</v>
      </c>
      <c r="HS86" t="e">
        <f>AND(#REF!,"AAAAAET//+I=")</f>
        <v>#REF!</v>
      </c>
      <c r="HT86" t="e">
        <f>AND(#REF!,"AAAAAET//+M=")</f>
        <v>#REF!</v>
      </c>
      <c r="HU86" t="e">
        <f>AND(#REF!,"AAAAAET//+Q=")</f>
        <v>#REF!</v>
      </c>
      <c r="HV86" t="e">
        <f>AND(#REF!,"AAAAAET//+U=")</f>
        <v>#REF!</v>
      </c>
      <c r="HW86" t="e">
        <f>IF(#REF!,"AAAAAET//+Y=",0)</f>
        <v>#REF!</v>
      </c>
      <c r="HX86" t="e">
        <f>AND(#REF!,"AAAAAET//+c=")</f>
        <v>#REF!</v>
      </c>
      <c r="HY86" t="e">
        <f>AND(#REF!,"AAAAAET//+g=")</f>
        <v>#REF!</v>
      </c>
      <c r="HZ86" t="e">
        <f>AND(#REF!,"AAAAAET//+k=")</f>
        <v>#REF!</v>
      </c>
      <c r="IA86" t="e">
        <f>AND(#REF!,"AAAAAET//+o=")</f>
        <v>#REF!</v>
      </c>
      <c r="IB86" t="e">
        <f>AND(#REF!,"AAAAAET//+s=")</f>
        <v>#REF!</v>
      </c>
      <c r="IC86" t="e">
        <f>AND(#REF!,"AAAAAET//+w=")</f>
        <v>#REF!</v>
      </c>
      <c r="ID86" t="e">
        <f>AND(#REF!,"AAAAAET//+0=")</f>
        <v>#REF!</v>
      </c>
      <c r="IE86" t="e">
        <f>AND(#REF!,"AAAAAET//+4=")</f>
        <v>#REF!</v>
      </c>
      <c r="IF86" t="e">
        <f>AND(#REF!,"AAAAAET//+8=")</f>
        <v>#REF!</v>
      </c>
      <c r="IG86" t="e">
        <f>AND(#REF!,"AAAAAET///A=")</f>
        <v>#REF!</v>
      </c>
      <c r="IH86" t="e">
        <f>AND(#REF!,"AAAAAET///E=")</f>
        <v>#REF!</v>
      </c>
      <c r="II86" t="e">
        <f>AND(#REF!,"AAAAAET///I=")</f>
        <v>#REF!</v>
      </c>
      <c r="IJ86" t="e">
        <f>AND(#REF!,"AAAAAET///M=")</f>
        <v>#REF!</v>
      </c>
      <c r="IK86" t="e">
        <f>AND(#REF!,"AAAAAET///Q=")</f>
        <v>#REF!</v>
      </c>
      <c r="IL86" t="e">
        <f>AND(#REF!,"AAAAAET///U=")</f>
        <v>#REF!</v>
      </c>
      <c r="IM86" t="e">
        <f>AND(#REF!,"AAAAAET///Y=")</f>
        <v>#REF!</v>
      </c>
      <c r="IN86" t="e">
        <f>AND(#REF!,"AAAAAET///c=")</f>
        <v>#REF!</v>
      </c>
      <c r="IO86" t="e">
        <f>AND(#REF!,"AAAAAET///g=")</f>
        <v>#REF!</v>
      </c>
      <c r="IP86" t="e">
        <f>AND(#REF!,"AAAAAET///k=")</f>
        <v>#REF!</v>
      </c>
      <c r="IQ86" t="e">
        <f>AND(#REF!,"AAAAAET///o=")</f>
        <v>#REF!</v>
      </c>
      <c r="IR86" t="e">
        <f>AND(#REF!,"AAAAAET///s=")</f>
        <v>#REF!</v>
      </c>
      <c r="IS86" t="e">
        <f>AND(#REF!,"AAAAAET///w=")</f>
        <v>#REF!</v>
      </c>
      <c r="IT86" t="e">
        <f>AND(#REF!,"AAAAAET///0=")</f>
        <v>#REF!</v>
      </c>
      <c r="IU86" t="e">
        <f>AND(#REF!,"AAAAAET///4=")</f>
        <v>#REF!</v>
      </c>
      <c r="IV86" t="e">
        <f>AND(#REF!,"AAAAAET///8=")</f>
        <v>#REF!</v>
      </c>
    </row>
    <row r="87" spans="1:256" x14ac:dyDescent="0.2">
      <c r="A87" t="e">
        <f>AND(#REF!,"AAAAAHY+4wA=")</f>
        <v>#REF!</v>
      </c>
      <c r="B87" t="e">
        <f>IF(#REF!,"AAAAAHY+4wE=",0)</f>
        <v>#REF!</v>
      </c>
      <c r="C87" t="e">
        <f>AND(#REF!,"AAAAAHY+4wI=")</f>
        <v>#REF!</v>
      </c>
      <c r="D87" t="e">
        <f>AND(#REF!,"AAAAAHY+4wM=")</f>
        <v>#REF!</v>
      </c>
      <c r="E87" t="e">
        <f>AND(#REF!,"AAAAAHY+4wQ=")</f>
        <v>#REF!</v>
      </c>
      <c r="F87" t="e">
        <f>AND(#REF!,"AAAAAHY+4wU=")</f>
        <v>#REF!</v>
      </c>
      <c r="G87" t="e">
        <f>AND(#REF!,"AAAAAHY+4wY=")</f>
        <v>#REF!</v>
      </c>
      <c r="H87" t="e">
        <f>AND(#REF!,"AAAAAHY+4wc=")</f>
        <v>#REF!</v>
      </c>
      <c r="I87" t="e">
        <f>AND(#REF!,"AAAAAHY+4wg=")</f>
        <v>#REF!</v>
      </c>
      <c r="J87" t="e">
        <f>AND(#REF!,"AAAAAHY+4wk=")</f>
        <v>#REF!</v>
      </c>
      <c r="K87" t="e">
        <f>AND(#REF!,"AAAAAHY+4wo=")</f>
        <v>#REF!</v>
      </c>
      <c r="L87" t="e">
        <f>AND(#REF!,"AAAAAHY+4ws=")</f>
        <v>#REF!</v>
      </c>
      <c r="M87" t="e">
        <f>AND(#REF!,"AAAAAHY+4ww=")</f>
        <v>#REF!</v>
      </c>
      <c r="N87" t="e">
        <f>AND(#REF!,"AAAAAHY+4w0=")</f>
        <v>#REF!</v>
      </c>
      <c r="O87" t="e">
        <f>AND(#REF!,"AAAAAHY+4w4=")</f>
        <v>#REF!</v>
      </c>
      <c r="P87" t="e">
        <f>AND(#REF!,"AAAAAHY+4w8=")</f>
        <v>#REF!</v>
      </c>
      <c r="Q87" t="e">
        <f>AND(#REF!,"AAAAAHY+4xA=")</f>
        <v>#REF!</v>
      </c>
      <c r="R87" t="e">
        <f>AND(#REF!,"AAAAAHY+4xE=")</f>
        <v>#REF!</v>
      </c>
      <c r="S87" t="e">
        <f>AND(#REF!,"AAAAAHY+4xI=")</f>
        <v>#REF!</v>
      </c>
      <c r="T87" t="e">
        <f>AND(#REF!,"AAAAAHY+4xM=")</f>
        <v>#REF!</v>
      </c>
      <c r="U87" t="e">
        <f>AND(#REF!,"AAAAAHY+4xQ=")</f>
        <v>#REF!</v>
      </c>
      <c r="V87" t="e">
        <f>AND(#REF!,"AAAAAHY+4xU=")</f>
        <v>#REF!</v>
      </c>
      <c r="W87" t="e">
        <f>AND(#REF!,"AAAAAHY+4xY=")</f>
        <v>#REF!</v>
      </c>
      <c r="X87" t="e">
        <f>AND(#REF!,"AAAAAHY+4xc=")</f>
        <v>#REF!</v>
      </c>
      <c r="Y87" t="e">
        <f>AND(#REF!,"AAAAAHY+4xg=")</f>
        <v>#REF!</v>
      </c>
      <c r="Z87" t="e">
        <f>AND(#REF!,"AAAAAHY+4xk=")</f>
        <v>#REF!</v>
      </c>
      <c r="AA87" t="e">
        <f>AND(#REF!,"AAAAAHY+4xo=")</f>
        <v>#REF!</v>
      </c>
      <c r="AB87" t="e">
        <f>AND(#REF!,"AAAAAHY+4xs=")</f>
        <v>#REF!</v>
      </c>
      <c r="AC87" t="e">
        <f>IF(#REF!,"AAAAAHY+4xw=",0)</f>
        <v>#REF!</v>
      </c>
      <c r="AD87" t="e">
        <f>AND(#REF!,"AAAAAHY+4x0=")</f>
        <v>#REF!</v>
      </c>
      <c r="AE87" t="e">
        <f>AND(#REF!,"AAAAAHY+4x4=")</f>
        <v>#REF!</v>
      </c>
      <c r="AF87" t="e">
        <f>AND(#REF!,"AAAAAHY+4x8=")</f>
        <v>#REF!</v>
      </c>
      <c r="AG87" t="e">
        <f>AND(#REF!,"AAAAAHY+4yA=")</f>
        <v>#REF!</v>
      </c>
      <c r="AH87" t="e">
        <f>AND(#REF!,"AAAAAHY+4yE=")</f>
        <v>#REF!</v>
      </c>
      <c r="AI87" t="e">
        <f>AND(#REF!,"AAAAAHY+4yI=")</f>
        <v>#REF!</v>
      </c>
      <c r="AJ87" t="e">
        <f>AND(#REF!,"AAAAAHY+4yM=")</f>
        <v>#REF!</v>
      </c>
      <c r="AK87" t="e">
        <f>AND(#REF!,"AAAAAHY+4yQ=")</f>
        <v>#REF!</v>
      </c>
      <c r="AL87" t="e">
        <f>AND(#REF!,"AAAAAHY+4yU=")</f>
        <v>#REF!</v>
      </c>
      <c r="AM87" t="e">
        <f>AND(#REF!,"AAAAAHY+4yY=")</f>
        <v>#REF!</v>
      </c>
      <c r="AN87" t="e">
        <f>AND(#REF!,"AAAAAHY+4yc=")</f>
        <v>#REF!</v>
      </c>
      <c r="AO87" t="e">
        <f>AND(#REF!,"AAAAAHY+4yg=")</f>
        <v>#REF!</v>
      </c>
      <c r="AP87" t="e">
        <f>AND(#REF!,"AAAAAHY+4yk=")</f>
        <v>#REF!</v>
      </c>
      <c r="AQ87" t="e">
        <f>AND(#REF!,"AAAAAHY+4yo=")</f>
        <v>#REF!</v>
      </c>
      <c r="AR87" t="e">
        <f>AND(#REF!,"AAAAAHY+4ys=")</f>
        <v>#REF!</v>
      </c>
      <c r="AS87" t="e">
        <f>AND(#REF!,"AAAAAHY+4yw=")</f>
        <v>#REF!</v>
      </c>
      <c r="AT87" t="e">
        <f>AND(#REF!,"AAAAAHY+4y0=")</f>
        <v>#REF!</v>
      </c>
      <c r="AU87" t="e">
        <f>AND(#REF!,"AAAAAHY+4y4=")</f>
        <v>#REF!</v>
      </c>
      <c r="AV87" t="e">
        <f>AND(#REF!,"AAAAAHY+4y8=")</f>
        <v>#REF!</v>
      </c>
      <c r="AW87" t="e">
        <f>AND(#REF!,"AAAAAHY+4zA=")</f>
        <v>#REF!</v>
      </c>
      <c r="AX87" t="e">
        <f>AND(#REF!,"AAAAAHY+4zE=")</f>
        <v>#REF!</v>
      </c>
      <c r="AY87" t="e">
        <f>AND(#REF!,"AAAAAHY+4zI=")</f>
        <v>#REF!</v>
      </c>
      <c r="AZ87" t="e">
        <f>AND(#REF!,"AAAAAHY+4zM=")</f>
        <v>#REF!</v>
      </c>
      <c r="BA87" t="e">
        <f>AND(#REF!,"AAAAAHY+4zQ=")</f>
        <v>#REF!</v>
      </c>
      <c r="BB87" t="e">
        <f>AND(#REF!,"AAAAAHY+4zU=")</f>
        <v>#REF!</v>
      </c>
      <c r="BC87" t="e">
        <f>AND(#REF!,"AAAAAHY+4zY=")</f>
        <v>#REF!</v>
      </c>
      <c r="BD87" t="e">
        <f>IF(#REF!,"AAAAAHY+4zc=",0)</f>
        <v>#REF!</v>
      </c>
      <c r="BE87" t="e">
        <f>AND(#REF!,"AAAAAHY+4zg=")</f>
        <v>#REF!</v>
      </c>
      <c r="BF87" t="e">
        <f>AND(#REF!,"AAAAAHY+4zk=")</f>
        <v>#REF!</v>
      </c>
      <c r="BG87" t="e">
        <f>AND(#REF!,"AAAAAHY+4zo=")</f>
        <v>#REF!</v>
      </c>
      <c r="BH87" t="e">
        <f>AND(#REF!,"AAAAAHY+4zs=")</f>
        <v>#REF!</v>
      </c>
      <c r="BI87" t="e">
        <f>AND(#REF!,"AAAAAHY+4zw=")</f>
        <v>#REF!</v>
      </c>
      <c r="BJ87" t="e">
        <f>AND(#REF!,"AAAAAHY+4z0=")</f>
        <v>#REF!</v>
      </c>
      <c r="BK87" t="e">
        <f>AND(#REF!,"AAAAAHY+4z4=")</f>
        <v>#REF!</v>
      </c>
      <c r="BL87" t="e">
        <f>AND(#REF!,"AAAAAHY+4z8=")</f>
        <v>#REF!</v>
      </c>
      <c r="BM87" t="e">
        <f>AND(#REF!,"AAAAAHY+40A=")</f>
        <v>#REF!</v>
      </c>
      <c r="BN87" t="e">
        <f>AND(#REF!,"AAAAAHY+40E=")</f>
        <v>#REF!</v>
      </c>
      <c r="BO87" t="e">
        <f>AND(#REF!,"AAAAAHY+40I=")</f>
        <v>#REF!</v>
      </c>
      <c r="BP87" t="e">
        <f>AND(#REF!,"AAAAAHY+40M=")</f>
        <v>#REF!</v>
      </c>
      <c r="BQ87" t="e">
        <f>AND(#REF!,"AAAAAHY+40Q=")</f>
        <v>#REF!</v>
      </c>
      <c r="BR87" t="e">
        <f>AND(#REF!,"AAAAAHY+40U=")</f>
        <v>#REF!</v>
      </c>
      <c r="BS87" t="e">
        <f>AND(#REF!,"AAAAAHY+40Y=")</f>
        <v>#REF!</v>
      </c>
      <c r="BT87" t="e">
        <f>AND(#REF!,"AAAAAHY+40c=")</f>
        <v>#REF!</v>
      </c>
      <c r="BU87" t="e">
        <f>AND(#REF!,"AAAAAHY+40g=")</f>
        <v>#REF!</v>
      </c>
      <c r="BV87" t="e">
        <f>AND(#REF!,"AAAAAHY+40k=")</f>
        <v>#REF!</v>
      </c>
      <c r="BW87" t="e">
        <f>AND(#REF!,"AAAAAHY+40o=")</f>
        <v>#REF!</v>
      </c>
      <c r="BX87" t="e">
        <f>AND(#REF!,"AAAAAHY+40s=")</f>
        <v>#REF!</v>
      </c>
      <c r="BY87" t="e">
        <f>AND(#REF!,"AAAAAHY+40w=")</f>
        <v>#REF!</v>
      </c>
      <c r="BZ87" t="e">
        <f>AND(#REF!,"AAAAAHY+400=")</f>
        <v>#REF!</v>
      </c>
      <c r="CA87" t="e">
        <f>AND(#REF!,"AAAAAHY+404=")</f>
        <v>#REF!</v>
      </c>
      <c r="CB87" t="e">
        <f>AND(#REF!,"AAAAAHY+408=")</f>
        <v>#REF!</v>
      </c>
      <c r="CC87" t="e">
        <f>AND(#REF!,"AAAAAHY+41A=")</f>
        <v>#REF!</v>
      </c>
      <c r="CD87" t="e">
        <f>AND(#REF!,"AAAAAHY+41E=")</f>
        <v>#REF!</v>
      </c>
      <c r="CE87" t="e">
        <f>IF(#REF!,"AAAAAHY+41I=",0)</f>
        <v>#REF!</v>
      </c>
      <c r="CF87" t="e">
        <f>AND(#REF!,"AAAAAHY+41M=")</f>
        <v>#REF!</v>
      </c>
      <c r="CG87" t="e">
        <f>AND(#REF!,"AAAAAHY+41Q=")</f>
        <v>#REF!</v>
      </c>
      <c r="CH87" t="e">
        <f>AND(#REF!,"AAAAAHY+41U=")</f>
        <v>#REF!</v>
      </c>
      <c r="CI87" t="e">
        <f>AND(#REF!,"AAAAAHY+41Y=")</f>
        <v>#REF!</v>
      </c>
      <c r="CJ87" t="e">
        <f>AND(#REF!,"AAAAAHY+41c=")</f>
        <v>#REF!</v>
      </c>
      <c r="CK87" t="e">
        <f>AND(#REF!,"AAAAAHY+41g=")</f>
        <v>#REF!</v>
      </c>
      <c r="CL87" t="e">
        <f>AND(#REF!,"AAAAAHY+41k=")</f>
        <v>#REF!</v>
      </c>
      <c r="CM87" t="e">
        <f>AND(#REF!,"AAAAAHY+41o=")</f>
        <v>#REF!</v>
      </c>
      <c r="CN87" t="e">
        <f>AND(#REF!,"AAAAAHY+41s=")</f>
        <v>#REF!</v>
      </c>
      <c r="CO87" t="e">
        <f>AND(#REF!,"AAAAAHY+41w=")</f>
        <v>#REF!</v>
      </c>
      <c r="CP87" t="e">
        <f>AND(#REF!,"AAAAAHY+410=")</f>
        <v>#REF!</v>
      </c>
      <c r="CQ87" t="e">
        <f>AND(#REF!,"AAAAAHY+414=")</f>
        <v>#REF!</v>
      </c>
      <c r="CR87" t="e">
        <f>AND(#REF!,"AAAAAHY+418=")</f>
        <v>#REF!</v>
      </c>
      <c r="CS87" t="e">
        <f>AND(#REF!,"AAAAAHY+42A=")</f>
        <v>#REF!</v>
      </c>
      <c r="CT87" t="e">
        <f>AND(#REF!,"AAAAAHY+42E=")</f>
        <v>#REF!</v>
      </c>
      <c r="CU87" t="e">
        <f>AND(#REF!,"AAAAAHY+42I=")</f>
        <v>#REF!</v>
      </c>
      <c r="CV87" t="e">
        <f>AND(#REF!,"AAAAAHY+42M=")</f>
        <v>#REF!</v>
      </c>
      <c r="CW87" t="e">
        <f>AND(#REF!,"AAAAAHY+42Q=")</f>
        <v>#REF!</v>
      </c>
      <c r="CX87" t="e">
        <f>AND(#REF!,"AAAAAHY+42U=")</f>
        <v>#REF!</v>
      </c>
      <c r="CY87" t="e">
        <f>AND(#REF!,"AAAAAHY+42Y=")</f>
        <v>#REF!</v>
      </c>
      <c r="CZ87" t="e">
        <f>AND(#REF!,"AAAAAHY+42c=")</f>
        <v>#REF!</v>
      </c>
      <c r="DA87" t="e">
        <f>AND(#REF!,"AAAAAHY+42g=")</f>
        <v>#REF!</v>
      </c>
      <c r="DB87" t="e">
        <f>AND(#REF!,"AAAAAHY+42k=")</f>
        <v>#REF!</v>
      </c>
      <c r="DC87" t="e">
        <f>AND(#REF!,"AAAAAHY+42o=")</f>
        <v>#REF!</v>
      </c>
      <c r="DD87" t="e">
        <f>AND(#REF!,"AAAAAHY+42s=")</f>
        <v>#REF!</v>
      </c>
      <c r="DE87" t="e">
        <f>AND(#REF!,"AAAAAHY+42w=")</f>
        <v>#REF!</v>
      </c>
      <c r="DF87" t="e">
        <f>IF(#REF!,"AAAAAHY+420=",0)</f>
        <v>#REF!</v>
      </c>
      <c r="DG87" t="e">
        <f>AND(#REF!,"AAAAAHY+424=")</f>
        <v>#REF!</v>
      </c>
      <c r="DH87" t="e">
        <f>AND(#REF!,"AAAAAHY+428=")</f>
        <v>#REF!</v>
      </c>
      <c r="DI87" t="e">
        <f>AND(#REF!,"AAAAAHY+43A=")</f>
        <v>#REF!</v>
      </c>
      <c r="DJ87" t="e">
        <f>AND(#REF!,"AAAAAHY+43E=")</f>
        <v>#REF!</v>
      </c>
      <c r="DK87" t="e">
        <f>AND(#REF!,"AAAAAHY+43I=")</f>
        <v>#REF!</v>
      </c>
      <c r="DL87" t="e">
        <f>AND(#REF!,"AAAAAHY+43M=")</f>
        <v>#REF!</v>
      </c>
      <c r="DM87" t="e">
        <f>AND(#REF!,"AAAAAHY+43Q=")</f>
        <v>#REF!</v>
      </c>
      <c r="DN87" t="e">
        <f>AND(#REF!,"AAAAAHY+43U=")</f>
        <v>#REF!</v>
      </c>
      <c r="DO87" t="e">
        <f>AND(#REF!,"AAAAAHY+43Y=")</f>
        <v>#REF!</v>
      </c>
      <c r="DP87" t="e">
        <f>AND(#REF!,"AAAAAHY+43c=")</f>
        <v>#REF!</v>
      </c>
      <c r="DQ87" t="e">
        <f>AND(#REF!,"AAAAAHY+43g=")</f>
        <v>#REF!</v>
      </c>
      <c r="DR87" t="e">
        <f>AND(#REF!,"AAAAAHY+43k=")</f>
        <v>#REF!</v>
      </c>
      <c r="DS87" t="e">
        <f>AND(#REF!,"AAAAAHY+43o=")</f>
        <v>#REF!</v>
      </c>
      <c r="DT87" t="e">
        <f>AND(#REF!,"AAAAAHY+43s=")</f>
        <v>#REF!</v>
      </c>
      <c r="DU87" t="e">
        <f>AND(#REF!,"AAAAAHY+43w=")</f>
        <v>#REF!</v>
      </c>
      <c r="DV87" t="e">
        <f>AND(#REF!,"AAAAAHY+430=")</f>
        <v>#REF!</v>
      </c>
      <c r="DW87" t="e">
        <f>AND(#REF!,"AAAAAHY+434=")</f>
        <v>#REF!</v>
      </c>
      <c r="DX87" t="e">
        <f>AND(#REF!,"AAAAAHY+438=")</f>
        <v>#REF!</v>
      </c>
      <c r="DY87" t="e">
        <f>AND(#REF!,"AAAAAHY+44A=")</f>
        <v>#REF!</v>
      </c>
      <c r="DZ87" t="e">
        <f>AND(#REF!,"AAAAAHY+44E=")</f>
        <v>#REF!</v>
      </c>
      <c r="EA87" t="e">
        <f>AND(#REF!,"AAAAAHY+44I=")</f>
        <v>#REF!</v>
      </c>
      <c r="EB87" t="e">
        <f>AND(#REF!,"AAAAAHY+44M=")</f>
        <v>#REF!</v>
      </c>
      <c r="EC87" t="e">
        <f>AND(#REF!,"AAAAAHY+44Q=")</f>
        <v>#REF!</v>
      </c>
      <c r="ED87" t="e">
        <f>AND(#REF!,"AAAAAHY+44U=")</f>
        <v>#REF!</v>
      </c>
      <c r="EE87" t="e">
        <f>AND(#REF!,"AAAAAHY+44Y=")</f>
        <v>#REF!</v>
      </c>
      <c r="EF87" t="e">
        <f>AND(#REF!,"AAAAAHY+44c=")</f>
        <v>#REF!</v>
      </c>
      <c r="EG87" t="e">
        <f>IF(#REF!,"AAAAAHY+44g=",0)</f>
        <v>#REF!</v>
      </c>
      <c r="EH87" t="e">
        <f>AND(#REF!,"AAAAAHY+44k=")</f>
        <v>#REF!</v>
      </c>
      <c r="EI87" t="e">
        <f>AND(#REF!,"AAAAAHY+44o=")</f>
        <v>#REF!</v>
      </c>
      <c r="EJ87" t="e">
        <f>AND(#REF!,"AAAAAHY+44s=")</f>
        <v>#REF!</v>
      </c>
      <c r="EK87" t="e">
        <f>AND(#REF!,"AAAAAHY+44w=")</f>
        <v>#REF!</v>
      </c>
      <c r="EL87" t="e">
        <f>AND(#REF!,"AAAAAHY+440=")</f>
        <v>#REF!</v>
      </c>
      <c r="EM87" t="e">
        <f>AND(#REF!,"AAAAAHY+444=")</f>
        <v>#REF!</v>
      </c>
      <c r="EN87" t="e">
        <f>AND(#REF!,"AAAAAHY+448=")</f>
        <v>#REF!</v>
      </c>
      <c r="EO87" t="e">
        <f>AND(#REF!,"AAAAAHY+45A=")</f>
        <v>#REF!</v>
      </c>
      <c r="EP87" t="e">
        <f>AND(#REF!,"AAAAAHY+45E=")</f>
        <v>#REF!</v>
      </c>
      <c r="EQ87" t="e">
        <f>AND(#REF!,"AAAAAHY+45I=")</f>
        <v>#REF!</v>
      </c>
      <c r="ER87" t="e">
        <f>AND(#REF!,"AAAAAHY+45M=")</f>
        <v>#REF!</v>
      </c>
      <c r="ES87" t="e">
        <f>AND(#REF!,"AAAAAHY+45Q=")</f>
        <v>#REF!</v>
      </c>
      <c r="ET87" t="e">
        <f>AND(#REF!,"AAAAAHY+45U=")</f>
        <v>#REF!</v>
      </c>
      <c r="EU87" t="e">
        <f>AND(#REF!,"AAAAAHY+45Y=")</f>
        <v>#REF!</v>
      </c>
      <c r="EV87" t="e">
        <f>AND(#REF!,"AAAAAHY+45c=")</f>
        <v>#REF!</v>
      </c>
      <c r="EW87" t="e">
        <f>AND(#REF!,"AAAAAHY+45g=")</f>
        <v>#REF!</v>
      </c>
      <c r="EX87" t="e">
        <f>AND(#REF!,"AAAAAHY+45k=")</f>
        <v>#REF!</v>
      </c>
      <c r="EY87" t="e">
        <f>AND(#REF!,"AAAAAHY+45o=")</f>
        <v>#REF!</v>
      </c>
      <c r="EZ87" t="e">
        <f>AND(#REF!,"AAAAAHY+45s=")</f>
        <v>#REF!</v>
      </c>
      <c r="FA87" t="e">
        <f>AND(#REF!,"AAAAAHY+45w=")</f>
        <v>#REF!</v>
      </c>
      <c r="FB87" t="e">
        <f>AND(#REF!,"AAAAAHY+450=")</f>
        <v>#REF!</v>
      </c>
      <c r="FC87" t="e">
        <f>AND(#REF!,"AAAAAHY+454=")</f>
        <v>#REF!</v>
      </c>
      <c r="FD87" t="e">
        <f>AND(#REF!,"AAAAAHY+458=")</f>
        <v>#REF!</v>
      </c>
      <c r="FE87" t="e">
        <f>AND(#REF!,"AAAAAHY+46A=")</f>
        <v>#REF!</v>
      </c>
      <c r="FF87" t="e">
        <f>AND(#REF!,"AAAAAHY+46E=")</f>
        <v>#REF!</v>
      </c>
      <c r="FG87" t="e">
        <f>AND(#REF!,"AAAAAHY+46I=")</f>
        <v>#REF!</v>
      </c>
      <c r="FH87" t="e">
        <f>IF(#REF!,"AAAAAHY+46M=",0)</f>
        <v>#REF!</v>
      </c>
      <c r="FI87" t="e">
        <f>AND(#REF!,"AAAAAHY+46Q=")</f>
        <v>#REF!</v>
      </c>
      <c r="FJ87" t="e">
        <f>AND(#REF!,"AAAAAHY+46U=")</f>
        <v>#REF!</v>
      </c>
      <c r="FK87" t="e">
        <f>AND(#REF!,"AAAAAHY+46Y=")</f>
        <v>#REF!</v>
      </c>
      <c r="FL87" t="e">
        <f>AND(#REF!,"AAAAAHY+46c=")</f>
        <v>#REF!</v>
      </c>
      <c r="FM87" t="e">
        <f>AND(#REF!,"AAAAAHY+46g=")</f>
        <v>#REF!</v>
      </c>
      <c r="FN87" t="e">
        <f>AND(#REF!,"AAAAAHY+46k=")</f>
        <v>#REF!</v>
      </c>
      <c r="FO87" t="e">
        <f>AND(#REF!,"AAAAAHY+46o=")</f>
        <v>#REF!</v>
      </c>
      <c r="FP87" t="e">
        <f>AND(#REF!,"AAAAAHY+46s=")</f>
        <v>#REF!</v>
      </c>
      <c r="FQ87" t="e">
        <f>AND(#REF!,"AAAAAHY+46w=")</f>
        <v>#REF!</v>
      </c>
      <c r="FR87" t="e">
        <f>AND(#REF!,"AAAAAHY+460=")</f>
        <v>#REF!</v>
      </c>
      <c r="FS87" t="e">
        <f>AND(#REF!,"AAAAAHY+464=")</f>
        <v>#REF!</v>
      </c>
      <c r="FT87" t="e">
        <f>AND(#REF!,"AAAAAHY+468=")</f>
        <v>#REF!</v>
      </c>
      <c r="FU87" t="e">
        <f>AND(#REF!,"AAAAAHY+47A=")</f>
        <v>#REF!</v>
      </c>
      <c r="FV87" t="e">
        <f>AND(#REF!,"AAAAAHY+47E=")</f>
        <v>#REF!</v>
      </c>
      <c r="FW87" t="e">
        <f>AND(#REF!,"AAAAAHY+47I=")</f>
        <v>#REF!</v>
      </c>
      <c r="FX87" t="e">
        <f>AND(#REF!,"AAAAAHY+47M=")</f>
        <v>#REF!</v>
      </c>
      <c r="FY87" t="e">
        <f>AND(#REF!,"AAAAAHY+47Q=")</f>
        <v>#REF!</v>
      </c>
      <c r="FZ87" t="e">
        <f>AND(#REF!,"AAAAAHY+47U=")</f>
        <v>#REF!</v>
      </c>
      <c r="GA87" t="e">
        <f>AND(#REF!,"AAAAAHY+47Y=")</f>
        <v>#REF!</v>
      </c>
      <c r="GB87" t="e">
        <f>AND(#REF!,"AAAAAHY+47c=")</f>
        <v>#REF!</v>
      </c>
      <c r="GC87" t="e">
        <f>AND(#REF!,"AAAAAHY+47g=")</f>
        <v>#REF!</v>
      </c>
      <c r="GD87" t="e">
        <f>AND(#REF!,"AAAAAHY+47k=")</f>
        <v>#REF!</v>
      </c>
      <c r="GE87" t="e">
        <f>AND(#REF!,"AAAAAHY+47o=")</f>
        <v>#REF!</v>
      </c>
      <c r="GF87" t="e">
        <f>AND(#REF!,"AAAAAHY+47s=")</f>
        <v>#REF!</v>
      </c>
      <c r="GG87" t="e">
        <f>AND(#REF!,"AAAAAHY+47w=")</f>
        <v>#REF!</v>
      </c>
      <c r="GH87" t="e">
        <f>AND(#REF!,"AAAAAHY+470=")</f>
        <v>#REF!</v>
      </c>
      <c r="GI87" t="e">
        <f>IF(#REF!,"AAAAAHY+474=",0)</f>
        <v>#REF!</v>
      </c>
      <c r="GJ87" t="e">
        <f>AND(#REF!,"AAAAAHY+478=")</f>
        <v>#REF!</v>
      </c>
      <c r="GK87" t="e">
        <f>AND(#REF!,"AAAAAHY+48A=")</f>
        <v>#REF!</v>
      </c>
      <c r="GL87" t="e">
        <f>AND(#REF!,"AAAAAHY+48E=")</f>
        <v>#REF!</v>
      </c>
      <c r="GM87" t="e">
        <f>AND(#REF!,"AAAAAHY+48I=")</f>
        <v>#REF!</v>
      </c>
      <c r="GN87" t="e">
        <f>AND(#REF!,"AAAAAHY+48M=")</f>
        <v>#REF!</v>
      </c>
      <c r="GO87" t="e">
        <f>AND(#REF!,"AAAAAHY+48Q=")</f>
        <v>#REF!</v>
      </c>
      <c r="GP87" t="e">
        <f>AND(#REF!,"AAAAAHY+48U=")</f>
        <v>#REF!</v>
      </c>
      <c r="GQ87" t="e">
        <f>AND(#REF!,"AAAAAHY+48Y=")</f>
        <v>#REF!</v>
      </c>
      <c r="GR87" t="e">
        <f>AND(#REF!,"AAAAAHY+48c=")</f>
        <v>#REF!</v>
      </c>
      <c r="GS87" t="e">
        <f>AND(#REF!,"AAAAAHY+48g=")</f>
        <v>#REF!</v>
      </c>
      <c r="GT87" t="e">
        <f>AND(#REF!,"AAAAAHY+48k=")</f>
        <v>#REF!</v>
      </c>
      <c r="GU87" t="e">
        <f>AND(#REF!,"AAAAAHY+48o=")</f>
        <v>#REF!</v>
      </c>
      <c r="GV87" t="e">
        <f>AND(#REF!,"AAAAAHY+48s=")</f>
        <v>#REF!</v>
      </c>
      <c r="GW87" t="e">
        <f>AND(#REF!,"AAAAAHY+48w=")</f>
        <v>#REF!</v>
      </c>
      <c r="GX87" t="e">
        <f>AND(#REF!,"AAAAAHY+480=")</f>
        <v>#REF!</v>
      </c>
      <c r="GY87" t="e">
        <f>AND(#REF!,"AAAAAHY+484=")</f>
        <v>#REF!</v>
      </c>
      <c r="GZ87" t="e">
        <f>AND(#REF!,"AAAAAHY+488=")</f>
        <v>#REF!</v>
      </c>
      <c r="HA87" t="e">
        <f>AND(#REF!,"AAAAAHY+49A=")</f>
        <v>#REF!</v>
      </c>
      <c r="HB87" t="e">
        <f>AND(#REF!,"AAAAAHY+49E=")</f>
        <v>#REF!</v>
      </c>
      <c r="HC87" t="e">
        <f>AND(#REF!,"AAAAAHY+49I=")</f>
        <v>#REF!</v>
      </c>
      <c r="HD87" t="e">
        <f>AND(#REF!,"AAAAAHY+49M=")</f>
        <v>#REF!</v>
      </c>
      <c r="HE87" t="e">
        <f>AND(#REF!,"AAAAAHY+49Q=")</f>
        <v>#REF!</v>
      </c>
      <c r="HF87" t="e">
        <f>AND(#REF!,"AAAAAHY+49U=")</f>
        <v>#REF!</v>
      </c>
      <c r="HG87" t="e">
        <f>AND(#REF!,"AAAAAHY+49Y=")</f>
        <v>#REF!</v>
      </c>
      <c r="HH87" t="e">
        <f>AND(#REF!,"AAAAAHY+49c=")</f>
        <v>#REF!</v>
      </c>
      <c r="HI87" t="e">
        <f>AND(#REF!,"AAAAAHY+49g=")</f>
        <v>#REF!</v>
      </c>
      <c r="HJ87" t="e">
        <f>IF(#REF!,"AAAAAHY+49k=",0)</f>
        <v>#REF!</v>
      </c>
      <c r="HK87" t="e">
        <f>AND(#REF!,"AAAAAHY+49o=")</f>
        <v>#REF!</v>
      </c>
      <c r="HL87" t="e">
        <f>AND(#REF!,"AAAAAHY+49s=")</f>
        <v>#REF!</v>
      </c>
      <c r="HM87" t="e">
        <f>AND(#REF!,"AAAAAHY+49w=")</f>
        <v>#REF!</v>
      </c>
      <c r="HN87" t="e">
        <f>AND(#REF!,"AAAAAHY+490=")</f>
        <v>#REF!</v>
      </c>
      <c r="HO87" t="e">
        <f>AND(#REF!,"AAAAAHY+494=")</f>
        <v>#REF!</v>
      </c>
      <c r="HP87" t="e">
        <f>AND(#REF!,"AAAAAHY+498=")</f>
        <v>#REF!</v>
      </c>
      <c r="HQ87" t="e">
        <f>AND(#REF!,"AAAAAHY+4+A=")</f>
        <v>#REF!</v>
      </c>
      <c r="HR87" t="e">
        <f>AND(#REF!,"AAAAAHY+4+E=")</f>
        <v>#REF!</v>
      </c>
      <c r="HS87" t="e">
        <f>AND(#REF!,"AAAAAHY+4+I=")</f>
        <v>#REF!</v>
      </c>
      <c r="HT87" t="e">
        <f>AND(#REF!,"AAAAAHY+4+M=")</f>
        <v>#REF!</v>
      </c>
      <c r="HU87" t="e">
        <f>AND(#REF!,"AAAAAHY+4+Q=")</f>
        <v>#REF!</v>
      </c>
      <c r="HV87" t="e">
        <f>AND(#REF!,"AAAAAHY+4+U=")</f>
        <v>#REF!</v>
      </c>
      <c r="HW87" t="e">
        <f>AND(#REF!,"AAAAAHY+4+Y=")</f>
        <v>#REF!</v>
      </c>
      <c r="HX87" t="e">
        <f>AND(#REF!,"AAAAAHY+4+c=")</f>
        <v>#REF!</v>
      </c>
      <c r="HY87" t="e">
        <f>AND(#REF!,"AAAAAHY+4+g=")</f>
        <v>#REF!</v>
      </c>
      <c r="HZ87" t="e">
        <f>AND(#REF!,"AAAAAHY+4+k=")</f>
        <v>#REF!</v>
      </c>
      <c r="IA87" t="e">
        <f>AND(#REF!,"AAAAAHY+4+o=")</f>
        <v>#REF!</v>
      </c>
      <c r="IB87" t="e">
        <f>AND(#REF!,"AAAAAHY+4+s=")</f>
        <v>#REF!</v>
      </c>
      <c r="IC87" t="e">
        <f>AND(#REF!,"AAAAAHY+4+w=")</f>
        <v>#REF!</v>
      </c>
      <c r="ID87" t="e">
        <f>AND(#REF!,"AAAAAHY+4+0=")</f>
        <v>#REF!</v>
      </c>
      <c r="IE87" t="e">
        <f>AND(#REF!,"AAAAAHY+4+4=")</f>
        <v>#REF!</v>
      </c>
      <c r="IF87" t="e">
        <f>AND(#REF!,"AAAAAHY+4+8=")</f>
        <v>#REF!</v>
      </c>
      <c r="IG87" t="e">
        <f>AND(#REF!,"AAAAAHY+4/A=")</f>
        <v>#REF!</v>
      </c>
      <c r="IH87" t="e">
        <f>AND(#REF!,"AAAAAHY+4/E=")</f>
        <v>#REF!</v>
      </c>
      <c r="II87" t="e">
        <f>AND(#REF!,"AAAAAHY+4/I=")</f>
        <v>#REF!</v>
      </c>
      <c r="IJ87" t="e">
        <f>AND(#REF!,"AAAAAHY+4/M=")</f>
        <v>#REF!</v>
      </c>
      <c r="IK87" t="e">
        <f>IF(#REF!,"AAAAAHY+4/Q=",0)</f>
        <v>#REF!</v>
      </c>
      <c r="IL87" t="e">
        <f>AND(#REF!,"AAAAAHY+4/U=")</f>
        <v>#REF!</v>
      </c>
      <c r="IM87" t="e">
        <f>AND(#REF!,"AAAAAHY+4/Y=")</f>
        <v>#REF!</v>
      </c>
      <c r="IN87" t="e">
        <f>AND(#REF!,"AAAAAHY+4/c=")</f>
        <v>#REF!</v>
      </c>
      <c r="IO87" t="e">
        <f>AND(#REF!,"AAAAAHY+4/g=")</f>
        <v>#REF!</v>
      </c>
      <c r="IP87" t="e">
        <f>AND(#REF!,"AAAAAHY+4/k=")</f>
        <v>#REF!</v>
      </c>
      <c r="IQ87" t="e">
        <f>AND(#REF!,"AAAAAHY+4/o=")</f>
        <v>#REF!</v>
      </c>
      <c r="IR87" t="e">
        <f>AND(#REF!,"AAAAAHY+4/s=")</f>
        <v>#REF!</v>
      </c>
      <c r="IS87" t="e">
        <f>AND(#REF!,"AAAAAHY+4/w=")</f>
        <v>#REF!</v>
      </c>
      <c r="IT87" t="e">
        <f>AND(#REF!,"AAAAAHY+4/0=")</f>
        <v>#REF!</v>
      </c>
      <c r="IU87" t="e">
        <f>AND(#REF!,"AAAAAHY+4/4=")</f>
        <v>#REF!</v>
      </c>
      <c r="IV87" t="e">
        <f>AND(#REF!,"AAAAAHY+4/8=")</f>
        <v>#REF!</v>
      </c>
    </row>
    <row r="88" spans="1:256" x14ac:dyDescent="0.2">
      <c r="A88" t="e">
        <f>AND(#REF!,"AAAAAG9/uAA=")</f>
        <v>#REF!</v>
      </c>
      <c r="B88" t="e">
        <f>AND(#REF!,"AAAAAG9/uAE=")</f>
        <v>#REF!</v>
      </c>
      <c r="C88" t="e">
        <f>AND(#REF!,"AAAAAG9/uAI=")</f>
        <v>#REF!</v>
      </c>
      <c r="D88" t="e">
        <f>AND(#REF!,"AAAAAG9/uAM=")</f>
        <v>#REF!</v>
      </c>
      <c r="E88" t="e">
        <f>AND(#REF!,"AAAAAG9/uAQ=")</f>
        <v>#REF!</v>
      </c>
      <c r="F88" t="e">
        <f>AND(#REF!,"AAAAAG9/uAU=")</f>
        <v>#REF!</v>
      </c>
      <c r="G88" t="e">
        <f>AND(#REF!,"AAAAAG9/uAY=")</f>
        <v>#REF!</v>
      </c>
      <c r="H88" t="e">
        <f>AND(#REF!,"AAAAAG9/uAc=")</f>
        <v>#REF!</v>
      </c>
      <c r="I88" t="e">
        <f>AND(#REF!,"AAAAAG9/uAg=")</f>
        <v>#REF!</v>
      </c>
      <c r="J88" t="e">
        <f>AND(#REF!,"AAAAAG9/uAk=")</f>
        <v>#REF!</v>
      </c>
      <c r="K88" t="e">
        <f>AND(#REF!,"AAAAAG9/uAo=")</f>
        <v>#REF!</v>
      </c>
      <c r="L88" t="e">
        <f>AND(#REF!,"AAAAAG9/uAs=")</f>
        <v>#REF!</v>
      </c>
      <c r="M88" t="e">
        <f>AND(#REF!,"AAAAAG9/uAw=")</f>
        <v>#REF!</v>
      </c>
      <c r="N88" t="e">
        <f>AND(#REF!,"AAAAAG9/uA0=")</f>
        <v>#REF!</v>
      </c>
      <c r="O88" t="e">
        <f>AND(#REF!,"AAAAAG9/uA4=")</f>
        <v>#REF!</v>
      </c>
      <c r="P88" t="e">
        <f>IF(#REF!,"AAAAAG9/uA8=",0)</f>
        <v>#REF!</v>
      </c>
      <c r="Q88" t="e">
        <f>AND(#REF!,"AAAAAG9/uBA=")</f>
        <v>#REF!</v>
      </c>
      <c r="R88" t="e">
        <f>AND(#REF!,"AAAAAG9/uBE=")</f>
        <v>#REF!</v>
      </c>
      <c r="S88" t="e">
        <f>AND(#REF!,"AAAAAG9/uBI=")</f>
        <v>#REF!</v>
      </c>
      <c r="T88" t="e">
        <f>AND(#REF!,"AAAAAG9/uBM=")</f>
        <v>#REF!</v>
      </c>
      <c r="U88" t="e">
        <f>AND(#REF!,"AAAAAG9/uBQ=")</f>
        <v>#REF!</v>
      </c>
      <c r="V88" t="e">
        <f>AND(#REF!,"AAAAAG9/uBU=")</f>
        <v>#REF!</v>
      </c>
      <c r="W88" t="e">
        <f>AND(#REF!,"AAAAAG9/uBY=")</f>
        <v>#REF!</v>
      </c>
      <c r="X88" t="e">
        <f>AND(#REF!,"AAAAAG9/uBc=")</f>
        <v>#REF!</v>
      </c>
      <c r="Y88" t="e">
        <f>AND(#REF!,"AAAAAG9/uBg=")</f>
        <v>#REF!</v>
      </c>
      <c r="Z88" t="e">
        <f>AND(#REF!,"AAAAAG9/uBk=")</f>
        <v>#REF!</v>
      </c>
      <c r="AA88" t="e">
        <f>AND(#REF!,"AAAAAG9/uBo=")</f>
        <v>#REF!</v>
      </c>
      <c r="AB88" t="e">
        <f>AND(#REF!,"AAAAAG9/uBs=")</f>
        <v>#REF!</v>
      </c>
      <c r="AC88" t="e">
        <f>AND(#REF!,"AAAAAG9/uBw=")</f>
        <v>#REF!</v>
      </c>
      <c r="AD88" t="e">
        <f>AND(#REF!,"AAAAAG9/uB0=")</f>
        <v>#REF!</v>
      </c>
      <c r="AE88" t="e">
        <f>AND(#REF!,"AAAAAG9/uB4=")</f>
        <v>#REF!</v>
      </c>
      <c r="AF88" t="e">
        <f>AND(#REF!,"AAAAAG9/uB8=")</f>
        <v>#REF!</v>
      </c>
      <c r="AG88" t="e">
        <f>AND(#REF!,"AAAAAG9/uCA=")</f>
        <v>#REF!</v>
      </c>
      <c r="AH88" t="e">
        <f>AND(#REF!,"AAAAAG9/uCE=")</f>
        <v>#REF!</v>
      </c>
      <c r="AI88" t="e">
        <f>AND(#REF!,"AAAAAG9/uCI=")</f>
        <v>#REF!</v>
      </c>
      <c r="AJ88" t="e">
        <f>AND(#REF!,"AAAAAG9/uCM=")</f>
        <v>#REF!</v>
      </c>
      <c r="AK88" t="e">
        <f>AND(#REF!,"AAAAAG9/uCQ=")</f>
        <v>#REF!</v>
      </c>
      <c r="AL88" t="e">
        <f>AND(#REF!,"AAAAAG9/uCU=")</f>
        <v>#REF!</v>
      </c>
      <c r="AM88" t="e">
        <f>AND(#REF!,"AAAAAG9/uCY=")</f>
        <v>#REF!</v>
      </c>
      <c r="AN88" t="e">
        <f>AND(#REF!,"AAAAAG9/uCc=")</f>
        <v>#REF!</v>
      </c>
      <c r="AO88" t="e">
        <f>AND(#REF!,"AAAAAG9/uCg=")</f>
        <v>#REF!</v>
      </c>
      <c r="AP88" t="e">
        <f>AND(#REF!,"AAAAAG9/uCk=")</f>
        <v>#REF!</v>
      </c>
      <c r="AQ88" t="e">
        <f>IF(#REF!,"AAAAAG9/uCo=",0)</f>
        <v>#REF!</v>
      </c>
      <c r="AR88" t="e">
        <f>AND(#REF!,"AAAAAG9/uCs=")</f>
        <v>#REF!</v>
      </c>
      <c r="AS88" t="e">
        <f>AND(#REF!,"AAAAAG9/uCw=")</f>
        <v>#REF!</v>
      </c>
      <c r="AT88" t="e">
        <f>AND(#REF!,"AAAAAG9/uC0=")</f>
        <v>#REF!</v>
      </c>
      <c r="AU88" t="e">
        <f>AND(#REF!,"AAAAAG9/uC4=")</f>
        <v>#REF!</v>
      </c>
      <c r="AV88" t="e">
        <f>AND(#REF!,"AAAAAG9/uC8=")</f>
        <v>#REF!</v>
      </c>
      <c r="AW88" t="e">
        <f>AND(#REF!,"AAAAAG9/uDA=")</f>
        <v>#REF!</v>
      </c>
      <c r="AX88" t="e">
        <f>AND(#REF!,"AAAAAG9/uDE=")</f>
        <v>#REF!</v>
      </c>
      <c r="AY88" t="e">
        <f>AND(#REF!,"AAAAAG9/uDI=")</f>
        <v>#REF!</v>
      </c>
      <c r="AZ88" t="e">
        <f>AND(#REF!,"AAAAAG9/uDM=")</f>
        <v>#REF!</v>
      </c>
      <c r="BA88" t="e">
        <f>AND(#REF!,"AAAAAG9/uDQ=")</f>
        <v>#REF!</v>
      </c>
      <c r="BB88" t="e">
        <f>AND(#REF!,"AAAAAG9/uDU=")</f>
        <v>#REF!</v>
      </c>
      <c r="BC88" t="e">
        <f>AND(#REF!,"AAAAAG9/uDY=")</f>
        <v>#REF!</v>
      </c>
      <c r="BD88" t="e">
        <f>AND(#REF!,"AAAAAG9/uDc=")</f>
        <v>#REF!</v>
      </c>
      <c r="BE88" t="e">
        <f>AND(#REF!,"AAAAAG9/uDg=")</f>
        <v>#REF!</v>
      </c>
      <c r="BF88" t="e">
        <f>AND(#REF!,"AAAAAG9/uDk=")</f>
        <v>#REF!</v>
      </c>
      <c r="BG88" t="e">
        <f>AND(#REF!,"AAAAAG9/uDo=")</f>
        <v>#REF!</v>
      </c>
      <c r="BH88" t="e">
        <f>AND(#REF!,"AAAAAG9/uDs=")</f>
        <v>#REF!</v>
      </c>
      <c r="BI88" t="e">
        <f>AND(#REF!,"AAAAAG9/uDw=")</f>
        <v>#REF!</v>
      </c>
      <c r="BJ88" t="e">
        <f>AND(#REF!,"AAAAAG9/uD0=")</f>
        <v>#REF!</v>
      </c>
      <c r="BK88" t="e">
        <f>AND(#REF!,"AAAAAG9/uD4=")</f>
        <v>#REF!</v>
      </c>
      <c r="BL88" t="e">
        <f>AND(#REF!,"AAAAAG9/uD8=")</f>
        <v>#REF!</v>
      </c>
      <c r="BM88" t="e">
        <f>AND(#REF!,"AAAAAG9/uEA=")</f>
        <v>#REF!</v>
      </c>
      <c r="BN88" t="e">
        <f>AND(#REF!,"AAAAAG9/uEE=")</f>
        <v>#REF!</v>
      </c>
      <c r="BO88" t="e">
        <f>AND(#REF!,"AAAAAG9/uEI=")</f>
        <v>#REF!</v>
      </c>
      <c r="BP88" t="e">
        <f>AND(#REF!,"AAAAAG9/uEM=")</f>
        <v>#REF!</v>
      </c>
      <c r="BQ88" t="e">
        <f>AND(#REF!,"AAAAAG9/uEQ=")</f>
        <v>#REF!</v>
      </c>
      <c r="BR88" t="e">
        <f>IF(#REF!,"AAAAAG9/uEU=",0)</f>
        <v>#REF!</v>
      </c>
      <c r="BS88" t="e">
        <f>AND(#REF!,"AAAAAG9/uEY=")</f>
        <v>#REF!</v>
      </c>
      <c r="BT88" t="e">
        <f>AND(#REF!,"AAAAAG9/uEc=")</f>
        <v>#REF!</v>
      </c>
      <c r="BU88" t="e">
        <f>AND(#REF!,"AAAAAG9/uEg=")</f>
        <v>#REF!</v>
      </c>
      <c r="BV88" t="e">
        <f>AND(#REF!,"AAAAAG9/uEk=")</f>
        <v>#REF!</v>
      </c>
      <c r="BW88" t="e">
        <f>AND(#REF!,"AAAAAG9/uEo=")</f>
        <v>#REF!</v>
      </c>
      <c r="BX88" t="e">
        <f>AND(#REF!,"AAAAAG9/uEs=")</f>
        <v>#REF!</v>
      </c>
      <c r="BY88" t="e">
        <f>AND(#REF!,"AAAAAG9/uEw=")</f>
        <v>#REF!</v>
      </c>
      <c r="BZ88" t="e">
        <f>AND(#REF!,"AAAAAG9/uE0=")</f>
        <v>#REF!</v>
      </c>
      <c r="CA88" t="e">
        <f>AND(#REF!,"AAAAAG9/uE4=")</f>
        <v>#REF!</v>
      </c>
      <c r="CB88" t="e">
        <f>AND(#REF!,"AAAAAG9/uE8=")</f>
        <v>#REF!</v>
      </c>
      <c r="CC88" t="e">
        <f>AND(#REF!,"AAAAAG9/uFA=")</f>
        <v>#REF!</v>
      </c>
      <c r="CD88" t="e">
        <f>AND(#REF!,"AAAAAG9/uFE=")</f>
        <v>#REF!</v>
      </c>
      <c r="CE88" t="e">
        <f>AND(#REF!,"AAAAAG9/uFI=")</f>
        <v>#REF!</v>
      </c>
      <c r="CF88" t="e">
        <f>AND(#REF!,"AAAAAG9/uFM=")</f>
        <v>#REF!</v>
      </c>
      <c r="CG88" t="e">
        <f>AND(#REF!,"AAAAAG9/uFQ=")</f>
        <v>#REF!</v>
      </c>
      <c r="CH88" t="e">
        <f>AND(#REF!,"AAAAAG9/uFU=")</f>
        <v>#REF!</v>
      </c>
      <c r="CI88" t="e">
        <f>AND(#REF!,"AAAAAG9/uFY=")</f>
        <v>#REF!</v>
      </c>
      <c r="CJ88" t="e">
        <f>AND(#REF!,"AAAAAG9/uFc=")</f>
        <v>#REF!</v>
      </c>
      <c r="CK88" t="e">
        <f>AND(#REF!,"AAAAAG9/uFg=")</f>
        <v>#REF!</v>
      </c>
      <c r="CL88" t="e">
        <f>AND(#REF!,"AAAAAG9/uFk=")</f>
        <v>#REF!</v>
      </c>
      <c r="CM88" t="e">
        <f>AND(#REF!,"AAAAAG9/uFo=")</f>
        <v>#REF!</v>
      </c>
      <c r="CN88" t="e">
        <f>AND(#REF!,"AAAAAG9/uFs=")</f>
        <v>#REF!</v>
      </c>
      <c r="CO88" t="e">
        <f>AND(#REF!,"AAAAAG9/uFw=")</f>
        <v>#REF!</v>
      </c>
      <c r="CP88" t="e">
        <f>AND(#REF!,"AAAAAG9/uF0=")</f>
        <v>#REF!</v>
      </c>
      <c r="CQ88" t="e">
        <f>AND(#REF!,"AAAAAG9/uF4=")</f>
        <v>#REF!</v>
      </c>
      <c r="CR88" t="e">
        <f>AND(#REF!,"AAAAAG9/uF8=")</f>
        <v>#REF!</v>
      </c>
      <c r="CS88" t="e">
        <f>IF(#REF!,"AAAAAG9/uGA=",0)</f>
        <v>#REF!</v>
      </c>
      <c r="CT88" t="e">
        <f>IF(#REF!,"AAAAAG9/uGE=",0)</f>
        <v>#REF!</v>
      </c>
      <c r="CU88" t="e">
        <f>IF(#REF!,"AAAAAG9/uGI=",0)</f>
        <v>#REF!</v>
      </c>
      <c r="CV88" t="e">
        <f>IF(#REF!,"AAAAAG9/uGM=",0)</f>
        <v>#REF!</v>
      </c>
      <c r="CW88" t="e">
        <f>IF(#REF!,"AAAAAG9/uGQ=",0)</f>
        <v>#REF!</v>
      </c>
      <c r="CX88" t="e">
        <f>IF(#REF!,"AAAAAG9/uGU=",0)</f>
        <v>#REF!</v>
      </c>
      <c r="CY88" t="e">
        <f>IF(#REF!,"AAAAAG9/uGY=",0)</f>
        <v>#REF!</v>
      </c>
      <c r="CZ88" t="e">
        <f>IF(#REF!,"AAAAAG9/uGc=",0)</f>
        <v>#REF!</v>
      </c>
      <c r="DA88" t="e">
        <f>IF(#REF!,"AAAAAG9/uGg=",0)</f>
        <v>#REF!</v>
      </c>
      <c r="DB88" t="e">
        <f>IF(#REF!,"AAAAAG9/uGk=",0)</f>
        <v>#REF!</v>
      </c>
      <c r="DC88" t="e">
        <f>IF(#REF!,"AAAAAG9/uGo=",0)</f>
        <v>#REF!</v>
      </c>
      <c r="DD88" t="e">
        <f>IF(#REF!,"AAAAAG9/uGs=",0)</f>
        <v>#REF!</v>
      </c>
      <c r="DE88" t="e">
        <f>IF(#REF!,"AAAAAG9/uGw=",0)</f>
        <v>#REF!</v>
      </c>
      <c r="DF88" t="e">
        <f>IF(#REF!,"AAAAAG9/uG0=",0)</f>
        <v>#REF!</v>
      </c>
      <c r="DG88" t="e">
        <f>IF(#REF!,"AAAAAG9/uG4=",0)</f>
        <v>#REF!</v>
      </c>
      <c r="DH88" t="e">
        <f>IF(#REF!,"AAAAAG9/uG8=",0)</f>
        <v>#REF!</v>
      </c>
      <c r="DI88" t="e">
        <f>IF(#REF!,"AAAAAG9/uHA=",0)</f>
        <v>#REF!</v>
      </c>
      <c r="DJ88" t="e">
        <f>IF(#REF!,"AAAAAG9/uHE=",0)</f>
        <v>#REF!</v>
      </c>
      <c r="DK88" t="e">
        <f>IF(#REF!,"AAAAAG9/uHI=",0)</f>
        <v>#REF!</v>
      </c>
      <c r="DL88" t="e">
        <f>IF(#REF!,"AAAAAG9/uHM=",0)</f>
        <v>#REF!</v>
      </c>
      <c r="DM88" t="e">
        <f>IF(#REF!,"AAAAAG9/uHQ=",0)</f>
        <v>#REF!</v>
      </c>
      <c r="DN88" t="e">
        <f>IF(#REF!,"AAAAAG9/uHU=",0)</f>
        <v>#REF!</v>
      </c>
      <c r="DO88" t="e">
        <f>IF(#REF!,"AAAAAG9/uHY=",0)</f>
        <v>#REF!</v>
      </c>
      <c r="DP88" t="e">
        <f>IF(#REF!,"AAAAAG9/uHc=",0)</f>
        <v>#REF!</v>
      </c>
      <c r="DQ88" t="e">
        <f>IF(#REF!,"AAAAAG9/uHg=",0)</f>
        <v>#REF!</v>
      </c>
      <c r="DR88" t="e">
        <f>IF(#REF!,"AAAAAG9/uHk=",0)</f>
        <v>#REF!</v>
      </c>
      <c r="DS88" t="e">
        <f>IF(#REF!,"AAAAAG9/uHo=",0)</f>
        <v>#REF!</v>
      </c>
      <c r="DT88" t="e">
        <f>IF(#REF!,"AAAAAG9/uHs=",0)</f>
        <v>#REF!</v>
      </c>
      <c r="DU88" t="e">
        <f>IF(#REF!,"AAAAAG9/uHw=",0)</f>
        <v>#REF!</v>
      </c>
      <c r="DV88" t="e">
        <f>AND(#REF!,"AAAAAG9/uH0=")</f>
        <v>#REF!</v>
      </c>
      <c r="DW88" t="e">
        <f>AND(#REF!,"AAAAAG9/uH4=")</f>
        <v>#REF!</v>
      </c>
      <c r="DX88" t="e">
        <f>AND(#REF!,"AAAAAG9/uH8=")</f>
        <v>#REF!</v>
      </c>
      <c r="DY88" t="e">
        <f>AND(#REF!,"AAAAAG9/uIA=")</f>
        <v>#REF!</v>
      </c>
      <c r="DZ88" t="e">
        <f>AND(#REF!,"AAAAAG9/uIE=")</f>
        <v>#REF!</v>
      </c>
      <c r="EA88" t="e">
        <f>AND(#REF!,"AAAAAG9/uII=")</f>
        <v>#REF!</v>
      </c>
      <c r="EB88" t="e">
        <f>AND(#REF!,"AAAAAG9/uIM=")</f>
        <v>#REF!</v>
      </c>
      <c r="EC88" t="e">
        <f>AND(#REF!,"AAAAAG9/uIQ=")</f>
        <v>#REF!</v>
      </c>
      <c r="ED88" t="e">
        <f>AND(#REF!,"AAAAAG9/uIU=")</f>
        <v>#REF!</v>
      </c>
      <c r="EE88" t="e">
        <f>AND(#REF!,"AAAAAG9/uIY=")</f>
        <v>#REF!</v>
      </c>
      <c r="EF88" t="e">
        <f>AND(#REF!,"AAAAAG9/uIc=")</f>
        <v>#REF!</v>
      </c>
      <c r="EG88" t="e">
        <f>AND(#REF!,"AAAAAG9/uIg=")</f>
        <v>#REF!</v>
      </c>
      <c r="EH88" t="e">
        <f>AND(#REF!,"AAAAAG9/uIk=")</f>
        <v>#REF!</v>
      </c>
      <c r="EI88" t="e">
        <f>AND(#REF!,"AAAAAG9/uIo=")</f>
        <v>#REF!</v>
      </c>
      <c r="EJ88" t="e">
        <f>AND(#REF!,"AAAAAG9/uIs=")</f>
        <v>#REF!</v>
      </c>
      <c r="EK88" t="e">
        <f>AND(#REF!,"AAAAAG9/uIw=")</f>
        <v>#REF!</v>
      </c>
      <c r="EL88" t="e">
        <f>AND(#REF!,"AAAAAG9/uI0=")</f>
        <v>#REF!</v>
      </c>
      <c r="EM88" t="e">
        <f>AND(#REF!,"AAAAAG9/uI4=")</f>
        <v>#REF!</v>
      </c>
      <c r="EN88" t="e">
        <f>AND(#REF!,"AAAAAG9/uI8=")</f>
        <v>#REF!</v>
      </c>
      <c r="EO88" t="e">
        <f>AND(#REF!,"AAAAAG9/uJA=")</f>
        <v>#REF!</v>
      </c>
      <c r="EP88" t="e">
        <f>AND(#REF!,"AAAAAG9/uJE=")</f>
        <v>#REF!</v>
      </c>
      <c r="EQ88" t="e">
        <f>AND(#REF!,"AAAAAG9/uJI=")</f>
        <v>#REF!</v>
      </c>
      <c r="ER88" t="e">
        <f>AND(#REF!,"AAAAAG9/uJM=")</f>
        <v>#REF!</v>
      </c>
      <c r="ES88" t="e">
        <f>AND(#REF!,"AAAAAG9/uJQ=")</f>
        <v>#REF!</v>
      </c>
      <c r="ET88" t="e">
        <f>AND(#REF!,"AAAAAG9/uJU=")</f>
        <v>#REF!</v>
      </c>
      <c r="EU88" t="e">
        <f>AND(#REF!,"AAAAAG9/uJY=")</f>
        <v>#REF!</v>
      </c>
      <c r="EV88" t="e">
        <f>IF(#REF!,"AAAAAG9/uJc=",0)</f>
        <v>#REF!</v>
      </c>
      <c r="EW88" t="e">
        <f>AND(#REF!,"AAAAAG9/uJg=")</f>
        <v>#REF!</v>
      </c>
      <c r="EX88" t="e">
        <f>AND(#REF!,"AAAAAG9/uJk=")</f>
        <v>#REF!</v>
      </c>
      <c r="EY88" t="e">
        <f>AND(#REF!,"AAAAAG9/uJo=")</f>
        <v>#REF!</v>
      </c>
      <c r="EZ88" t="e">
        <f>AND(#REF!,"AAAAAG9/uJs=")</f>
        <v>#REF!</v>
      </c>
      <c r="FA88" t="e">
        <f>AND(#REF!,"AAAAAG9/uJw=")</f>
        <v>#REF!</v>
      </c>
      <c r="FB88" t="e">
        <f>AND(#REF!,"AAAAAG9/uJ0=")</f>
        <v>#REF!</v>
      </c>
      <c r="FC88" t="e">
        <f>AND(#REF!,"AAAAAG9/uJ4=")</f>
        <v>#REF!</v>
      </c>
      <c r="FD88" t="e">
        <f>AND(#REF!,"AAAAAG9/uJ8=")</f>
        <v>#REF!</v>
      </c>
      <c r="FE88" t="e">
        <f>AND(#REF!,"AAAAAG9/uKA=")</f>
        <v>#REF!</v>
      </c>
      <c r="FF88" t="e">
        <f>AND(#REF!,"AAAAAG9/uKE=")</f>
        <v>#REF!</v>
      </c>
      <c r="FG88" t="e">
        <f>AND(#REF!,"AAAAAG9/uKI=")</f>
        <v>#REF!</v>
      </c>
      <c r="FH88" t="e">
        <f>AND(#REF!,"AAAAAG9/uKM=")</f>
        <v>#REF!</v>
      </c>
      <c r="FI88" t="e">
        <f>AND(#REF!,"AAAAAG9/uKQ=")</f>
        <v>#REF!</v>
      </c>
      <c r="FJ88" t="e">
        <f>AND(#REF!,"AAAAAG9/uKU=")</f>
        <v>#REF!</v>
      </c>
      <c r="FK88" t="e">
        <f>AND(#REF!,"AAAAAG9/uKY=")</f>
        <v>#REF!</v>
      </c>
      <c r="FL88" t="e">
        <f>AND(#REF!,"AAAAAG9/uKc=")</f>
        <v>#REF!</v>
      </c>
      <c r="FM88" t="e">
        <f>AND(#REF!,"AAAAAG9/uKg=")</f>
        <v>#REF!</v>
      </c>
      <c r="FN88" t="e">
        <f>AND(#REF!,"AAAAAG9/uKk=")</f>
        <v>#REF!</v>
      </c>
      <c r="FO88" t="e">
        <f>AND(#REF!,"AAAAAG9/uKo=")</f>
        <v>#REF!</v>
      </c>
      <c r="FP88" t="e">
        <f>AND(#REF!,"AAAAAG9/uKs=")</f>
        <v>#REF!</v>
      </c>
      <c r="FQ88" t="e">
        <f>AND(#REF!,"AAAAAG9/uKw=")</f>
        <v>#REF!</v>
      </c>
      <c r="FR88" t="e">
        <f>AND(#REF!,"AAAAAG9/uK0=")</f>
        <v>#REF!</v>
      </c>
      <c r="FS88" t="e">
        <f>AND(#REF!,"AAAAAG9/uK4=")</f>
        <v>#REF!</v>
      </c>
      <c r="FT88" t="e">
        <f>AND(#REF!,"AAAAAG9/uK8=")</f>
        <v>#REF!</v>
      </c>
      <c r="FU88" t="e">
        <f>AND(#REF!,"AAAAAG9/uLA=")</f>
        <v>#REF!</v>
      </c>
      <c r="FV88" t="e">
        <f>AND(#REF!,"AAAAAG9/uLE=")</f>
        <v>#REF!</v>
      </c>
      <c r="FW88" t="e">
        <f>IF(#REF!,"AAAAAG9/uLI=",0)</f>
        <v>#REF!</v>
      </c>
      <c r="FX88" t="e">
        <f>AND(#REF!,"AAAAAG9/uLM=")</f>
        <v>#REF!</v>
      </c>
      <c r="FY88" t="e">
        <f>AND(#REF!,"AAAAAG9/uLQ=")</f>
        <v>#REF!</v>
      </c>
      <c r="FZ88" t="e">
        <f>AND(#REF!,"AAAAAG9/uLU=")</f>
        <v>#REF!</v>
      </c>
      <c r="GA88" t="e">
        <f>AND(#REF!,"AAAAAG9/uLY=")</f>
        <v>#REF!</v>
      </c>
      <c r="GB88" t="e">
        <f>AND(#REF!,"AAAAAG9/uLc=")</f>
        <v>#REF!</v>
      </c>
      <c r="GC88" t="e">
        <f>AND(#REF!,"AAAAAG9/uLg=")</f>
        <v>#REF!</v>
      </c>
      <c r="GD88" t="e">
        <f>AND(#REF!,"AAAAAG9/uLk=")</f>
        <v>#REF!</v>
      </c>
      <c r="GE88" t="e">
        <f>AND(#REF!,"AAAAAG9/uLo=")</f>
        <v>#REF!</v>
      </c>
      <c r="GF88" t="e">
        <f>AND(#REF!,"AAAAAG9/uLs=")</f>
        <v>#REF!</v>
      </c>
      <c r="GG88" t="e">
        <f>AND(#REF!,"AAAAAG9/uLw=")</f>
        <v>#REF!</v>
      </c>
      <c r="GH88" t="e">
        <f>AND(#REF!,"AAAAAG9/uL0=")</f>
        <v>#REF!</v>
      </c>
      <c r="GI88" t="e">
        <f>AND(#REF!,"AAAAAG9/uL4=")</f>
        <v>#REF!</v>
      </c>
      <c r="GJ88" t="e">
        <f>AND(#REF!,"AAAAAG9/uL8=")</f>
        <v>#REF!</v>
      </c>
      <c r="GK88" t="e">
        <f>AND(#REF!,"AAAAAG9/uMA=")</f>
        <v>#REF!</v>
      </c>
      <c r="GL88" t="e">
        <f>AND(#REF!,"AAAAAG9/uME=")</f>
        <v>#REF!</v>
      </c>
      <c r="GM88" t="e">
        <f>AND(#REF!,"AAAAAG9/uMI=")</f>
        <v>#REF!</v>
      </c>
      <c r="GN88" t="e">
        <f>AND(#REF!,"AAAAAG9/uMM=")</f>
        <v>#REF!</v>
      </c>
      <c r="GO88" t="e">
        <f>AND(#REF!,"AAAAAG9/uMQ=")</f>
        <v>#REF!</v>
      </c>
      <c r="GP88" t="e">
        <f>AND(#REF!,"AAAAAG9/uMU=")</f>
        <v>#REF!</v>
      </c>
      <c r="GQ88" t="e">
        <f>AND(#REF!,"AAAAAG9/uMY=")</f>
        <v>#REF!</v>
      </c>
      <c r="GR88" t="e">
        <f>AND(#REF!,"AAAAAG9/uMc=")</f>
        <v>#REF!</v>
      </c>
      <c r="GS88" t="e">
        <f>AND(#REF!,"AAAAAG9/uMg=")</f>
        <v>#REF!</v>
      </c>
      <c r="GT88" t="e">
        <f>AND(#REF!,"AAAAAG9/uMk=")</f>
        <v>#REF!</v>
      </c>
      <c r="GU88" t="e">
        <f>AND(#REF!,"AAAAAG9/uMo=")</f>
        <v>#REF!</v>
      </c>
      <c r="GV88" t="e">
        <f>AND(#REF!,"AAAAAG9/uMs=")</f>
        <v>#REF!</v>
      </c>
      <c r="GW88" t="e">
        <f>AND(#REF!,"AAAAAG9/uMw=")</f>
        <v>#REF!</v>
      </c>
      <c r="GX88" t="e">
        <f>IF(#REF!,"AAAAAG9/uM0=",0)</f>
        <v>#REF!</v>
      </c>
      <c r="GY88" t="e">
        <f>AND(#REF!,"AAAAAG9/uM4=")</f>
        <v>#REF!</v>
      </c>
      <c r="GZ88" t="e">
        <f>AND(#REF!,"AAAAAG9/uM8=")</f>
        <v>#REF!</v>
      </c>
      <c r="HA88" t="e">
        <f>AND(#REF!,"AAAAAG9/uNA=")</f>
        <v>#REF!</v>
      </c>
      <c r="HB88" t="e">
        <f>AND(#REF!,"AAAAAG9/uNE=")</f>
        <v>#REF!</v>
      </c>
      <c r="HC88" t="e">
        <f>AND(#REF!,"AAAAAG9/uNI=")</f>
        <v>#REF!</v>
      </c>
      <c r="HD88" t="e">
        <f>AND(#REF!,"AAAAAG9/uNM=")</f>
        <v>#REF!</v>
      </c>
      <c r="HE88" t="e">
        <f>AND(#REF!,"AAAAAG9/uNQ=")</f>
        <v>#REF!</v>
      </c>
      <c r="HF88" t="e">
        <f>AND(#REF!,"AAAAAG9/uNU=")</f>
        <v>#REF!</v>
      </c>
      <c r="HG88" t="e">
        <f>AND(#REF!,"AAAAAG9/uNY=")</f>
        <v>#REF!</v>
      </c>
      <c r="HH88" t="e">
        <f>AND(#REF!,"AAAAAG9/uNc=")</f>
        <v>#REF!</v>
      </c>
      <c r="HI88" t="e">
        <f>AND(#REF!,"AAAAAG9/uNg=")</f>
        <v>#REF!</v>
      </c>
      <c r="HJ88" t="e">
        <f>AND(#REF!,"AAAAAG9/uNk=")</f>
        <v>#REF!</v>
      </c>
      <c r="HK88" t="e">
        <f>AND(#REF!,"AAAAAG9/uNo=")</f>
        <v>#REF!</v>
      </c>
      <c r="HL88" t="e">
        <f>AND(#REF!,"AAAAAG9/uNs=")</f>
        <v>#REF!</v>
      </c>
      <c r="HM88" t="e">
        <f>AND(#REF!,"AAAAAG9/uNw=")</f>
        <v>#REF!</v>
      </c>
      <c r="HN88" t="e">
        <f>AND(#REF!,"AAAAAG9/uN0=")</f>
        <v>#REF!</v>
      </c>
      <c r="HO88" t="e">
        <f>AND(#REF!,"AAAAAG9/uN4=")</f>
        <v>#REF!</v>
      </c>
      <c r="HP88" t="e">
        <f>AND(#REF!,"AAAAAG9/uN8=")</f>
        <v>#REF!</v>
      </c>
      <c r="HQ88" t="e">
        <f>AND(#REF!,"AAAAAG9/uOA=")</f>
        <v>#REF!</v>
      </c>
      <c r="HR88" t="e">
        <f>AND(#REF!,"AAAAAG9/uOE=")</f>
        <v>#REF!</v>
      </c>
      <c r="HS88" t="e">
        <f>AND(#REF!,"AAAAAG9/uOI=")</f>
        <v>#REF!</v>
      </c>
      <c r="HT88" t="e">
        <f>AND(#REF!,"AAAAAG9/uOM=")</f>
        <v>#REF!</v>
      </c>
      <c r="HU88" t="e">
        <f>AND(#REF!,"AAAAAG9/uOQ=")</f>
        <v>#REF!</v>
      </c>
      <c r="HV88" t="e">
        <f>AND(#REF!,"AAAAAG9/uOU=")</f>
        <v>#REF!</v>
      </c>
      <c r="HW88" t="e">
        <f>AND(#REF!,"AAAAAG9/uOY=")</f>
        <v>#REF!</v>
      </c>
      <c r="HX88" t="e">
        <f>AND(#REF!,"AAAAAG9/uOc=")</f>
        <v>#REF!</v>
      </c>
      <c r="HY88" t="e">
        <f>IF(#REF!,"AAAAAG9/uOg=",0)</f>
        <v>#REF!</v>
      </c>
      <c r="HZ88" t="e">
        <f>AND(#REF!,"AAAAAG9/uOk=")</f>
        <v>#REF!</v>
      </c>
      <c r="IA88" t="e">
        <f>AND(#REF!,"AAAAAG9/uOo=")</f>
        <v>#REF!</v>
      </c>
      <c r="IB88" t="e">
        <f>AND(#REF!,"AAAAAG9/uOs=")</f>
        <v>#REF!</v>
      </c>
      <c r="IC88" t="e">
        <f>AND(#REF!,"AAAAAG9/uOw=")</f>
        <v>#REF!</v>
      </c>
      <c r="ID88" t="e">
        <f>AND(#REF!,"AAAAAG9/uO0=")</f>
        <v>#REF!</v>
      </c>
      <c r="IE88" t="e">
        <f>AND(#REF!,"AAAAAG9/uO4=")</f>
        <v>#REF!</v>
      </c>
      <c r="IF88" t="e">
        <f>AND(#REF!,"AAAAAG9/uO8=")</f>
        <v>#REF!</v>
      </c>
      <c r="IG88" t="e">
        <f>AND(#REF!,"AAAAAG9/uPA=")</f>
        <v>#REF!</v>
      </c>
      <c r="IH88" t="e">
        <f>AND(#REF!,"AAAAAG9/uPE=")</f>
        <v>#REF!</v>
      </c>
      <c r="II88" t="e">
        <f>AND(#REF!,"AAAAAG9/uPI=")</f>
        <v>#REF!</v>
      </c>
      <c r="IJ88" t="e">
        <f>AND(#REF!,"AAAAAG9/uPM=")</f>
        <v>#REF!</v>
      </c>
      <c r="IK88" t="e">
        <f>AND(#REF!,"AAAAAG9/uPQ=")</f>
        <v>#REF!</v>
      </c>
      <c r="IL88" t="e">
        <f>AND(#REF!,"AAAAAG9/uPU=")</f>
        <v>#REF!</v>
      </c>
      <c r="IM88" t="e">
        <f>AND(#REF!,"AAAAAG9/uPY=")</f>
        <v>#REF!</v>
      </c>
      <c r="IN88" t="e">
        <f>AND(#REF!,"AAAAAG9/uPc=")</f>
        <v>#REF!</v>
      </c>
      <c r="IO88" t="e">
        <f>AND(#REF!,"AAAAAG9/uPg=")</f>
        <v>#REF!</v>
      </c>
      <c r="IP88" t="e">
        <f>AND(#REF!,"AAAAAG9/uPk=")</f>
        <v>#REF!</v>
      </c>
      <c r="IQ88" t="e">
        <f>AND(#REF!,"AAAAAG9/uPo=")</f>
        <v>#REF!</v>
      </c>
      <c r="IR88" t="e">
        <f>AND(#REF!,"AAAAAG9/uPs=")</f>
        <v>#REF!</v>
      </c>
      <c r="IS88" t="e">
        <f>AND(#REF!,"AAAAAG9/uPw=")</f>
        <v>#REF!</v>
      </c>
      <c r="IT88" t="e">
        <f>AND(#REF!,"AAAAAG9/uP0=")</f>
        <v>#REF!</v>
      </c>
      <c r="IU88" t="e">
        <f>AND(#REF!,"AAAAAG9/uP4=")</f>
        <v>#REF!</v>
      </c>
      <c r="IV88" t="e">
        <f>AND(#REF!,"AAAAAG9/uP8=")</f>
        <v>#REF!</v>
      </c>
    </row>
    <row r="89" spans="1:256" x14ac:dyDescent="0.2">
      <c r="A89" t="e">
        <f>AND(#REF!,"AAAAAG7j/wA=")</f>
        <v>#REF!</v>
      </c>
      <c r="B89" t="e">
        <f>AND(#REF!,"AAAAAG7j/wE=")</f>
        <v>#REF!</v>
      </c>
      <c r="C89" t="e">
        <f>AND(#REF!,"AAAAAG7j/wI=")</f>
        <v>#REF!</v>
      </c>
      <c r="D89" t="e">
        <f>IF(#REF!,"AAAAAG7j/wM=",0)</f>
        <v>#REF!</v>
      </c>
      <c r="E89" t="e">
        <f>AND(#REF!,"AAAAAG7j/wQ=")</f>
        <v>#REF!</v>
      </c>
      <c r="F89" t="e">
        <f>AND(#REF!,"AAAAAG7j/wU=")</f>
        <v>#REF!</v>
      </c>
      <c r="G89" t="e">
        <f>AND(#REF!,"AAAAAG7j/wY=")</f>
        <v>#REF!</v>
      </c>
      <c r="H89" t="e">
        <f>AND(#REF!,"AAAAAG7j/wc=")</f>
        <v>#REF!</v>
      </c>
      <c r="I89" t="e">
        <f>AND(#REF!,"AAAAAG7j/wg=")</f>
        <v>#REF!</v>
      </c>
      <c r="J89" t="e">
        <f>AND(#REF!,"AAAAAG7j/wk=")</f>
        <v>#REF!</v>
      </c>
      <c r="K89" t="e">
        <f>AND(#REF!,"AAAAAG7j/wo=")</f>
        <v>#REF!</v>
      </c>
      <c r="L89" t="e">
        <f>AND(#REF!,"AAAAAG7j/ws=")</f>
        <v>#REF!</v>
      </c>
      <c r="M89" t="e">
        <f>AND(#REF!,"AAAAAG7j/ww=")</f>
        <v>#REF!</v>
      </c>
      <c r="N89" t="e">
        <f>AND(#REF!,"AAAAAG7j/w0=")</f>
        <v>#REF!</v>
      </c>
      <c r="O89" t="e">
        <f>AND(#REF!,"AAAAAG7j/w4=")</f>
        <v>#REF!</v>
      </c>
      <c r="P89" t="e">
        <f>AND(#REF!,"AAAAAG7j/w8=")</f>
        <v>#REF!</v>
      </c>
      <c r="Q89" t="e">
        <f>AND(#REF!,"AAAAAG7j/xA=")</f>
        <v>#REF!</v>
      </c>
      <c r="R89" t="e">
        <f>AND(#REF!,"AAAAAG7j/xE=")</f>
        <v>#REF!</v>
      </c>
      <c r="S89" t="e">
        <f>AND(#REF!,"AAAAAG7j/xI=")</f>
        <v>#REF!</v>
      </c>
      <c r="T89" t="e">
        <f>AND(#REF!,"AAAAAG7j/xM=")</f>
        <v>#REF!</v>
      </c>
      <c r="U89" t="e">
        <f>AND(#REF!,"AAAAAG7j/xQ=")</f>
        <v>#REF!</v>
      </c>
      <c r="V89" t="e">
        <f>AND(#REF!,"AAAAAG7j/xU=")</f>
        <v>#REF!</v>
      </c>
      <c r="W89" t="e">
        <f>AND(#REF!,"AAAAAG7j/xY=")</f>
        <v>#REF!</v>
      </c>
      <c r="X89" t="e">
        <f>AND(#REF!,"AAAAAG7j/xc=")</f>
        <v>#REF!</v>
      </c>
      <c r="Y89" t="e">
        <f>AND(#REF!,"AAAAAG7j/xg=")</f>
        <v>#REF!</v>
      </c>
      <c r="Z89" t="e">
        <f>AND(#REF!,"AAAAAG7j/xk=")</f>
        <v>#REF!</v>
      </c>
      <c r="AA89" t="e">
        <f>AND(#REF!,"AAAAAG7j/xo=")</f>
        <v>#REF!</v>
      </c>
      <c r="AB89" t="e">
        <f>AND(#REF!,"AAAAAG7j/xs=")</f>
        <v>#REF!</v>
      </c>
      <c r="AC89" t="e">
        <f>AND(#REF!,"AAAAAG7j/xw=")</f>
        <v>#REF!</v>
      </c>
      <c r="AD89" t="e">
        <f>AND(#REF!,"AAAAAG7j/x0=")</f>
        <v>#REF!</v>
      </c>
      <c r="AE89" t="e">
        <f>IF(#REF!,"AAAAAG7j/x4=",0)</f>
        <v>#REF!</v>
      </c>
      <c r="AF89" t="e">
        <f>AND(#REF!,"AAAAAG7j/x8=")</f>
        <v>#REF!</v>
      </c>
      <c r="AG89" t="e">
        <f>AND(#REF!,"AAAAAG7j/yA=")</f>
        <v>#REF!</v>
      </c>
      <c r="AH89" t="e">
        <f>AND(#REF!,"AAAAAG7j/yE=")</f>
        <v>#REF!</v>
      </c>
      <c r="AI89" t="e">
        <f>AND(#REF!,"AAAAAG7j/yI=")</f>
        <v>#REF!</v>
      </c>
      <c r="AJ89" t="e">
        <f>AND(#REF!,"AAAAAG7j/yM=")</f>
        <v>#REF!</v>
      </c>
      <c r="AK89" t="e">
        <f>AND(#REF!,"AAAAAG7j/yQ=")</f>
        <v>#REF!</v>
      </c>
      <c r="AL89" t="e">
        <f>AND(#REF!,"AAAAAG7j/yU=")</f>
        <v>#REF!</v>
      </c>
      <c r="AM89" t="e">
        <f>AND(#REF!,"AAAAAG7j/yY=")</f>
        <v>#REF!</v>
      </c>
      <c r="AN89" t="e">
        <f>AND(#REF!,"AAAAAG7j/yc=")</f>
        <v>#REF!</v>
      </c>
      <c r="AO89" t="e">
        <f>AND(#REF!,"AAAAAG7j/yg=")</f>
        <v>#REF!</v>
      </c>
      <c r="AP89" t="e">
        <f>AND(#REF!,"AAAAAG7j/yk=")</f>
        <v>#REF!</v>
      </c>
      <c r="AQ89" t="e">
        <f>AND(#REF!,"AAAAAG7j/yo=")</f>
        <v>#REF!</v>
      </c>
      <c r="AR89" t="e">
        <f>AND(#REF!,"AAAAAG7j/ys=")</f>
        <v>#REF!</v>
      </c>
      <c r="AS89" t="e">
        <f>AND(#REF!,"AAAAAG7j/yw=")</f>
        <v>#REF!</v>
      </c>
      <c r="AT89" t="e">
        <f>AND(#REF!,"AAAAAG7j/y0=")</f>
        <v>#REF!</v>
      </c>
      <c r="AU89" t="e">
        <f>AND(#REF!,"AAAAAG7j/y4=")</f>
        <v>#REF!</v>
      </c>
      <c r="AV89" t="e">
        <f>AND(#REF!,"AAAAAG7j/y8=")</f>
        <v>#REF!</v>
      </c>
      <c r="AW89" t="e">
        <f>AND(#REF!,"AAAAAG7j/zA=")</f>
        <v>#REF!</v>
      </c>
      <c r="AX89" t="e">
        <f>AND(#REF!,"AAAAAG7j/zE=")</f>
        <v>#REF!</v>
      </c>
      <c r="AY89" t="e">
        <f>AND(#REF!,"AAAAAG7j/zI=")</f>
        <v>#REF!</v>
      </c>
      <c r="AZ89" t="e">
        <f>AND(#REF!,"AAAAAG7j/zM=")</f>
        <v>#REF!</v>
      </c>
      <c r="BA89" t="e">
        <f>AND(#REF!,"AAAAAG7j/zQ=")</f>
        <v>#REF!</v>
      </c>
      <c r="BB89" t="e">
        <f>AND(#REF!,"AAAAAG7j/zU=")</f>
        <v>#REF!</v>
      </c>
      <c r="BC89" t="e">
        <f>AND(#REF!,"AAAAAG7j/zY=")</f>
        <v>#REF!</v>
      </c>
      <c r="BD89" t="e">
        <f>AND(#REF!,"AAAAAG7j/zc=")</f>
        <v>#REF!</v>
      </c>
      <c r="BE89" t="e">
        <f>AND(#REF!,"AAAAAG7j/zg=")</f>
        <v>#REF!</v>
      </c>
      <c r="BF89" t="e">
        <f>IF(#REF!,"AAAAAG7j/zk=",0)</f>
        <v>#REF!</v>
      </c>
      <c r="BG89" t="e">
        <f>AND(#REF!,"AAAAAG7j/zo=")</f>
        <v>#REF!</v>
      </c>
      <c r="BH89" t="e">
        <f>AND(#REF!,"AAAAAG7j/zs=")</f>
        <v>#REF!</v>
      </c>
      <c r="BI89" t="e">
        <f>AND(#REF!,"AAAAAG7j/zw=")</f>
        <v>#REF!</v>
      </c>
      <c r="BJ89" t="e">
        <f>AND(#REF!,"AAAAAG7j/z0=")</f>
        <v>#REF!</v>
      </c>
      <c r="BK89" t="e">
        <f>AND(#REF!,"AAAAAG7j/z4=")</f>
        <v>#REF!</v>
      </c>
      <c r="BL89" t="e">
        <f>AND(#REF!,"AAAAAG7j/z8=")</f>
        <v>#REF!</v>
      </c>
      <c r="BM89" t="e">
        <f>AND(#REF!,"AAAAAG7j/0A=")</f>
        <v>#REF!</v>
      </c>
      <c r="BN89" t="e">
        <f>AND(#REF!,"AAAAAG7j/0E=")</f>
        <v>#REF!</v>
      </c>
      <c r="BO89" t="e">
        <f>AND(#REF!,"AAAAAG7j/0I=")</f>
        <v>#REF!</v>
      </c>
      <c r="BP89" t="e">
        <f>AND(#REF!,"AAAAAG7j/0M=")</f>
        <v>#REF!</v>
      </c>
      <c r="BQ89" t="e">
        <f>AND(#REF!,"AAAAAG7j/0Q=")</f>
        <v>#REF!</v>
      </c>
      <c r="BR89" t="e">
        <f>AND(#REF!,"AAAAAG7j/0U=")</f>
        <v>#REF!</v>
      </c>
      <c r="BS89" t="e">
        <f>AND(#REF!,"AAAAAG7j/0Y=")</f>
        <v>#REF!</v>
      </c>
      <c r="BT89" t="e">
        <f>AND(#REF!,"AAAAAG7j/0c=")</f>
        <v>#REF!</v>
      </c>
      <c r="BU89" t="e">
        <f>AND(#REF!,"AAAAAG7j/0g=")</f>
        <v>#REF!</v>
      </c>
      <c r="BV89" t="e">
        <f>AND(#REF!,"AAAAAG7j/0k=")</f>
        <v>#REF!</v>
      </c>
      <c r="BW89" t="e">
        <f>AND(#REF!,"AAAAAG7j/0o=")</f>
        <v>#REF!</v>
      </c>
      <c r="BX89" t="e">
        <f>AND(#REF!,"AAAAAG7j/0s=")</f>
        <v>#REF!</v>
      </c>
      <c r="BY89" t="e">
        <f>AND(#REF!,"AAAAAG7j/0w=")</f>
        <v>#REF!</v>
      </c>
      <c r="BZ89" t="e">
        <f>AND(#REF!,"AAAAAG7j/00=")</f>
        <v>#REF!</v>
      </c>
      <c r="CA89" t="e">
        <f>AND(#REF!,"AAAAAG7j/04=")</f>
        <v>#REF!</v>
      </c>
      <c r="CB89" t="e">
        <f>AND(#REF!,"AAAAAG7j/08=")</f>
        <v>#REF!</v>
      </c>
      <c r="CC89" t="e">
        <f>AND(#REF!,"AAAAAG7j/1A=")</f>
        <v>#REF!</v>
      </c>
      <c r="CD89" t="e">
        <f>AND(#REF!,"AAAAAG7j/1E=")</f>
        <v>#REF!</v>
      </c>
      <c r="CE89" t="e">
        <f>AND(#REF!,"AAAAAG7j/1I=")</f>
        <v>#REF!</v>
      </c>
      <c r="CF89" t="e">
        <f>AND(#REF!,"AAAAAG7j/1M=")</f>
        <v>#REF!</v>
      </c>
      <c r="CG89" t="e">
        <f>IF(#REF!,"AAAAAG7j/1Q=",0)</f>
        <v>#REF!</v>
      </c>
      <c r="CH89" t="e">
        <f>AND(#REF!,"AAAAAG7j/1U=")</f>
        <v>#REF!</v>
      </c>
      <c r="CI89" t="e">
        <f>AND(#REF!,"AAAAAG7j/1Y=")</f>
        <v>#REF!</v>
      </c>
      <c r="CJ89" t="e">
        <f>AND(#REF!,"AAAAAG7j/1c=")</f>
        <v>#REF!</v>
      </c>
      <c r="CK89" t="e">
        <f>AND(#REF!,"AAAAAG7j/1g=")</f>
        <v>#REF!</v>
      </c>
      <c r="CL89" t="e">
        <f>AND(#REF!,"AAAAAG7j/1k=")</f>
        <v>#REF!</v>
      </c>
      <c r="CM89" t="e">
        <f>AND(#REF!,"AAAAAG7j/1o=")</f>
        <v>#REF!</v>
      </c>
      <c r="CN89" t="e">
        <f>AND(#REF!,"AAAAAG7j/1s=")</f>
        <v>#REF!</v>
      </c>
      <c r="CO89" t="e">
        <f>AND(#REF!,"AAAAAG7j/1w=")</f>
        <v>#REF!</v>
      </c>
      <c r="CP89" t="e">
        <f>AND(#REF!,"AAAAAG7j/10=")</f>
        <v>#REF!</v>
      </c>
      <c r="CQ89" t="e">
        <f>AND(#REF!,"AAAAAG7j/14=")</f>
        <v>#REF!</v>
      </c>
      <c r="CR89" t="e">
        <f>AND(#REF!,"AAAAAG7j/18=")</f>
        <v>#REF!</v>
      </c>
      <c r="CS89" t="e">
        <f>AND(#REF!,"AAAAAG7j/2A=")</f>
        <v>#REF!</v>
      </c>
      <c r="CT89" t="e">
        <f>AND(#REF!,"AAAAAG7j/2E=")</f>
        <v>#REF!</v>
      </c>
      <c r="CU89" t="e">
        <f>AND(#REF!,"AAAAAG7j/2I=")</f>
        <v>#REF!</v>
      </c>
      <c r="CV89" t="e">
        <f>AND(#REF!,"AAAAAG7j/2M=")</f>
        <v>#REF!</v>
      </c>
      <c r="CW89" t="e">
        <f>AND(#REF!,"AAAAAG7j/2Q=")</f>
        <v>#REF!</v>
      </c>
      <c r="CX89" t="e">
        <f>AND(#REF!,"AAAAAG7j/2U=")</f>
        <v>#REF!</v>
      </c>
      <c r="CY89" t="e">
        <f>AND(#REF!,"AAAAAG7j/2Y=")</f>
        <v>#REF!</v>
      </c>
      <c r="CZ89" t="e">
        <f>AND(#REF!,"AAAAAG7j/2c=")</f>
        <v>#REF!</v>
      </c>
      <c r="DA89" t="e">
        <f>AND(#REF!,"AAAAAG7j/2g=")</f>
        <v>#REF!</v>
      </c>
      <c r="DB89" t="e">
        <f>AND(#REF!,"AAAAAG7j/2k=")</f>
        <v>#REF!</v>
      </c>
      <c r="DC89" t="e">
        <f>AND(#REF!,"AAAAAG7j/2o=")</f>
        <v>#REF!</v>
      </c>
      <c r="DD89" t="e">
        <f>AND(#REF!,"AAAAAG7j/2s=")</f>
        <v>#REF!</v>
      </c>
      <c r="DE89" t="e">
        <f>AND(#REF!,"AAAAAG7j/2w=")</f>
        <v>#REF!</v>
      </c>
      <c r="DF89" t="e">
        <f>AND(#REF!,"AAAAAG7j/20=")</f>
        <v>#REF!</v>
      </c>
      <c r="DG89" t="e">
        <f>AND(#REF!,"AAAAAG7j/24=")</f>
        <v>#REF!</v>
      </c>
      <c r="DH89" t="e">
        <f>IF(#REF!,"AAAAAG7j/28=",0)</f>
        <v>#REF!</v>
      </c>
      <c r="DI89" t="e">
        <f>AND(#REF!,"AAAAAG7j/3A=")</f>
        <v>#REF!</v>
      </c>
      <c r="DJ89" t="e">
        <f>AND(#REF!,"AAAAAG7j/3E=")</f>
        <v>#REF!</v>
      </c>
      <c r="DK89" t="e">
        <f>AND(#REF!,"AAAAAG7j/3I=")</f>
        <v>#REF!</v>
      </c>
      <c r="DL89" t="e">
        <f>AND(#REF!,"AAAAAG7j/3M=")</f>
        <v>#REF!</v>
      </c>
      <c r="DM89" t="e">
        <f>AND(#REF!,"AAAAAG7j/3Q=")</f>
        <v>#REF!</v>
      </c>
      <c r="DN89" t="e">
        <f>AND(#REF!,"AAAAAG7j/3U=")</f>
        <v>#REF!</v>
      </c>
      <c r="DO89" t="e">
        <f>AND(#REF!,"AAAAAG7j/3Y=")</f>
        <v>#REF!</v>
      </c>
      <c r="DP89" t="e">
        <f>AND(#REF!,"AAAAAG7j/3c=")</f>
        <v>#REF!</v>
      </c>
      <c r="DQ89" t="e">
        <f>AND(#REF!,"AAAAAG7j/3g=")</f>
        <v>#REF!</v>
      </c>
      <c r="DR89" t="e">
        <f>AND(#REF!,"AAAAAG7j/3k=")</f>
        <v>#REF!</v>
      </c>
      <c r="DS89" t="e">
        <f>AND(#REF!,"AAAAAG7j/3o=")</f>
        <v>#REF!</v>
      </c>
      <c r="DT89" t="e">
        <f>AND(#REF!,"AAAAAG7j/3s=")</f>
        <v>#REF!</v>
      </c>
      <c r="DU89" t="e">
        <f>AND(#REF!,"AAAAAG7j/3w=")</f>
        <v>#REF!</v>
      </c>
      <c r="DV89" t="e">
        <f>AND(#REF!,"AAAAAG7j/30=")</f>
        <v>#REF!</v>
      </c>
      <c r="DW89" t="e">
        <f>AND(#REF!,"AAAAAG7j/34=")</f>
        <v>#REF!</v>
      </c>
      <c r="DX89" t="e">
        <f>AND(#REF!,"AAAAAG7j/38=")</f>
        <v>#REF!</v>
      </c>
      <c r="DY89" t="e">
        <f>AND(#REF!,"AAAAAG7j/4A=")</f>
        <v>#REF!</v>
      </c>
      <c r="DZ89" t="e">
        <f>AND(#REF!,"AAAAAG7j/4E=")</f>
        <v>#REF!</v>
      </c>
      <c r="EA89" t="e">
        <f>AND(#REF!,"AAAAAG7j/4I=")</f>
        <v>#REF!</v>
      </c>
      <c r="EB89" t="e">
        <f>AND(#REF!,"AAAAAG7j/4M=")</f>
        <v>#REF!</v>
      </c>
      <c r="EC89" t="e">
        <f>AND(#REF!,"AAAAAG7j/4Q=")</f>
        <v>#REF!</v>
      </c>
      <c r="ED89" t="e">
        <f>AND(#REF!,"AAAAAG7j/4U=")</f>
        <v>#REF!</v>
      </c>
      <c r="EE89" t="e">
        <f>AND(#REF!,"AAAAAG7j/4Y=")</f>
        <v>#REF!</v>
      </c>
      <c r="EF89" t="e">
        <f>AND(#REF!,"AAAAAG7j/4c=")</f>
        <v>#REF!</v>
      </c>
      <c r="EG89" t="e">
        <f>AND(#REF!,"AAAAAG7j/4g=")</f>
        <v>#REF!</v>
      </c>
      <c r="EH89" t="e">
        <f>AND(#REF!,"AAAAAG7j/4k=")</f>
        <v>#REF!</v>
      </c>
      <c r="EI89" t="e">
        <f>IF(#REF!,"AAAAAG7j/4o=",0)</f>
        <v>#REF!</v>
      </c>
      <c r="EJ89" t="e">
        <f>AND(#REF!,"AAAAAG7j/4s=")</f>
        <v>#REF!</v>
      </c>
      <c r="EK89" t="e">
        <f>AND(#REF!,"AAAAAG7j/4w=")</f>
        <v>#REF!</v>
      </c>
      <c r="EL89" t="e">
        <f>AND(#REF!,"AAAAAG7j/40=")</f>
        <v>#REF!</v>
      </c>
      <c r="EM89" t="e">
        <f>AND(#REF!,"AAAAAG7j/44=")</f>
        <v>#REF!</v>
      </c>
      <c r="EN89" t="e">
        <f>AND(#REF!,"AAAAAG7j/48=")</f>
        <v>#REF!</v>
      </c>
      <c r="EO89" t="e">
        <f>AND(#REF!,"AAAAAG7j/5A=")</f>
        <v>#REF!</v>
      </c>
      <c r="EP89" t="e">
        <f>AND(#REF!,"AAAAAG7j/5E=")</f>
        <v>#REF!</v>
      </c>
      <c r="EQ89" t="e">
        <f>AND(#REF!,"AAAAAG7j/5I=")</f>
        <v>#REF!</v>
      </c>
      <c r="ER89" t="e">
        <f>AND(#REF!,"AAAAAG7j/5M=")</f>
        <v>#REF!</v>
      </c>
      <c r="ES89" t="e">
        <f>AND(#REF!,"AAAAAG7j/5Q=")</f>
        <v>#REF!</v>
      </c>
      <c r="ET89" t="e">
        <f>AND(#REF!,"AAAAAG7j/5U=")</f>
        <v>#REF!</v>
      </c>
      <c r="EU89" t="e">
        <f>AND(#REF!,"AAAAAG7j/5Y=")</f>
        <v>#REF!</v>
      </c>
      <c r="EV89" t="e">
        <f>AND(#REF!,"AAAAAG7j/5c=")</f>
        <v>#REF!</v>
      </c>
      <c r="EW89" t="e">
        <f>AND(#REF!,"AAAAAG7j/5g=")</f>
        <v>#REF!</v>
      </c>
      <c r="EX89" t="e">
        <f>AND(#REF!,"AAAAAG7j/5k=")</f>
        <v>#REF!</v>
      </c>
      <c r="EY89" t="e">
        <f>AND(#REF!,"AAAAAG7j/5o=")</f>
        <v>#REF!</v>
      </c>
      <c r="EZ89" t="e">
        <f>AND(#REF!,"AAAAAG7j/5s=")</f>
        <v>#REF!</v>
      </c>
      <c r="FA89" t="e">
        <f>AND(#REF!,"AAAAAG7j/5w=")</f>
        <v>#REF!</v>
      </c>
      <c r="FB89" t="e">
        <f>AND(#REF!,"AAAAAG7j/50=")</f>
        <v>#REF!</v>
      </c>
      <c r="FC89" t="e">
        <f>AND(#REF!,"AAAAAG7j/54=")</f>
        <v>#REF!</v>
      </c>
      <c r="FD89" t="e">
        <f>AND(#REF!,"AAAAAG7j/58=")</f>
        <v>#REF!</v>
      </c>
      <c r="FE89" t="e">
        <f>AND(#REF!,"AAAAAG7j/6A=")</f>
        <v>#REF!</v>
      </c>
      <c r="FF89" t="e">
        <f>AND(#REF!,"AAAAAG7j/6E=")</f>
        <v>#REF!</v>
      </c>
      <c r="FG89" t="e">
        <f>AND(#REF!,"AAAAAG7j/6I=")</f>
        <v>#REF!</v>
      </c>
      <c r="FH89" t="e">
        <f>AND(#REF!,"AAAAAG7j/6M=")</f>
        <v>#REF!</v>
      </c>
      <c r="FI89" t="e">
        <f>AND(#REF!,"AAAAAG7j/6Q=")</f>
        <v>#REF!</v>
      </c>
      <c r="FJ89" t="e">
        <f>IF(#REF!,"AAAAAG7j/6U=",0)</f>
        <v>#REF!</v>
      </c>
      <c r="FK89" t="e">
        <f>AND(#REF!,"AAAAAG7j/6Y=")</f>
        <v>#REF!</v>
      </c>
      <c r="FL89" t="e">
        <f>AND(#REF!,"AAAAAG7j/6c=")</f>
        <v>#REF!</v>
      </c>
      <c r="FM89" t="e">
        <f>AND(#REF!,"AAAAAG7j/6g=")</f>
        <v>#REF!</v>
      </c>
      <c r="FN89" t="e">
        <f>AND(#REF!,"AAAAAG7j/6k=")</f>
        <v>#REF!</v>
      </c>
      <c r="FO89" t="e">
        <f>AND(#REF!,"AAAAAG7j/6o=")</f>
        <v>#REF!</v>
      </c>
      <c r="FP89" t="e">
        <f>AND(#REF!,"AAAAAG7j/6s=")</f>
        <v>#REF!</v>
      </c>
      <c r="FQ89" t="e">
        <f>AND(#REF!,"AAAAAG7j/6w=")</f>
        <v>#REF!</v>
      </c>
      <c r="FR89" t="e">
        <f>AND(#REF!,"AAAAAG7j/60=")</f>
        <v>#REF!</v>
      </c>
      <c r="FS89" t="e">
        <f>AND(#REF!,"AAAAAG7j/64=")</f>
        <v>#REF!</v>
      </c>
      <c r="FT89" t="e">
        <f>AND(#REF!,"AAAAAG7j/68=")</f>
        <v>#REF!</v>
      </c>
      <c r="FU89" t="e">
        <f>AND(#REF!,"AAAAAG7j/7A=")</f>
        <v>#REF!</v>
      </c>
      <c r="FV89" t="e">
        <f>AND(#REF!,"AAAAAG7j/7E=")</f>
        <v>#REF!</v>
      </c>
      <c r="FW89" t="e">
        <f>AND(#REF!,"AAAAAG7j/7I=")</f>
        <v>#REF!</v>
      </c>
      <c r="FX89" t="e">
        <f>AND(#REF!,"AAAAAG7j/7M=")</f>
        <v>#REF!</v>
      </c>
      <c r="FY89" t="e">
        <f>AND(#REF!,"AAAAAG7j/7Q=")</f>
        <v>#REF!</v>
      </c>
      <c r="FZ89" t="e">
        <f>AND(#REF!,"AAAAAG7j/7U=")</f>
        <v>#REF!</v>
      </c>
      <c r="GA89" t="e">
        <f>AND(#REF!,"AAAAAG7j/7Y=")</f>
        <v>#REF!</v>
      </c>
      <c r="GB89" t="e">
        <f>AND(#REF!,"AAAAAG7j/7c=")</f>
        <v>#REF!</v>
      </c>
      <c r="GC89" t="e">
        <f>AND(#REF!,"AAAAAG7j/7g=")</f>
        <v>#REF!</v>
      </c>
      <c r="GD89" t="e">
        <f>AND(#REF!,"AAAAAG7j/7k=")</f>
        <v>#REF!</v>
      </c>
      <c r="GE89" t="e">
        <f>AND(#REF!,"AAAAAG7j/7o=")</f>
        <v>#REF!</v>
      </c>
      <c r="GF89" t="e">
        <f>AND(#REF!,"AAAAAG7j/7s=")</f>
        <v>#REF!</v>
      </c>
      <c r="GG89" t="e">
        <f>AND(#REF!,"AAAAAG7j/7w=")</f>
        <v>#REF!</v>
      </c>
      <c r="GH89" t="e">
        <f>AND(#REF!,"AAAAAG7j/70=")</f>
        <v>#REF!</v>
      </c>
      <c r="GI89" t="e">
        <f>AND(#REF!,"AAAAAG7j/74=")</f>
        <v>#REF!</v>
      </c>
      <c r="GJ89" t="e">
        <f>AND(#REF!,"AAAAAG7j/78=")</f>
        <v>#REF!</v>
      </c>
      <c r="GK89" t="e">
        <f>IF(#REF!,"AAAAAG7j/8A=",0)</f>
        <v>#REF!</v>
      </c>
      <c r="GL89" t="e">
        <f>AND(#REF!,"AAAAAG7j/8E=")</f>
        <v>#REF!</v>
      </c>
      <c r="GM89" t="e">
        <f>AND(#REF!,"AAAAAG7j/8I=")</f>
        <v>#REF!</v>
      </c>
      <c r="GN89" t="e">
        <f>AND(#REF!,"AAAAAG7j/8M=")</f>
        <v>#REF!</v>
      </c>
      <c r="GO89" t="e">
        <f>AND(#REF!,"AAAAAG7j/8Q=")</f>
        <v>#REF!</v>
      </c>
      <c r="GP89" t="e">
        <f>AND(#REF!,"AAAAAG7j/8U=")</f>
        <v>#REF!</v>
      </c>
      <c r="GQ89" t="e">
        <f>AND(#REF!,"AAAAAG7j/8Y=")</f>
        <v>#REF!</v>
      </c>
      <c r="GR89" t="e">
        <f>AND(#REF!,"AAAAAG7j/8c=")</f>
        <v>#REF!</v>
      </c>
      <c r="GS89" t="e">
        <f>AND(#REF!,"AAAAAG7j/8g=")</f>
        <v>#REF!</v>
      </c>
      <c r="GT89" t="e">
        <f>AND(#REF!,"AAAAAG7j/8k=")</f>
        <v>#REF!</v>
      </c>
      <c r="GU89" t="e">
        <f>AND(#REF!,"AAAAAG7j/8o=")</f>
        <v>#REF!</v>
      </c>
      <c r="GV89" t="e">
        <f>AND(#REF!,"AAAAAG7j/8s=")</f>
        <v>#REF!</v>
      </c>
      <c r="GW89" t="e">
        <f>AND(#REF!,"AAAAAG7j/8w=")</f>
        <v>#REF!</v>
      </c>
      <c r="GX89" t="e">
        <f>AND(#REF!,"AAAAAG7j/80=")</f>
        <v>#REF!</v>
      </c>
      <c r="GY89" t="e">
        <f>AND(#REF!,"AAAAAG7j/84=")</f>
        <v>#REF!</v>
      </c>
      <c r="GZ89" t="e">
        <f>AND(#REF!,"AAAAAG7j/88=")</f>
        <v>#REF!</v>
      </c>
      <c r="HA89" t="e">
        <f>AND(#REF!,"AAAAAG7j/9A=")</f>
        <v>#REF!</v>
      </c>
      <c r="HB89" t="e">
        <f>AND(#REF!,"AAAAAG7j/9E=")</f>
        <v>#REF!</v>
      </c>
      <c r="HC89" t="e">
        <f>AND(#REF!,"AAAAAG7j/9I=")</f>
        <v>#REF!</v>
      </c>
      <c r="HD89" t="e">
        <f>AND(#REF!,"AAAAAG7j/9M=")</f>
        <v>#REF!</v>
      </c>
      <c r="HE89" t="e">
        <f>AND(#REF!,"AAAAAG7j/9Q=")</f>
        <v>#REF!</v>
      </c>
      <c r="HF89" t="e">
        <f>AND(#REF!,"AAAAAG7j/9U=")</f>
        <v>#REF!</v>
      </c>
      <c r="HG89" t="e">
        <f>AND(#REF!,"AAAAAG7j/9Y=")</f>
        <v>#REF!</v>
      </c>
      <c r="HH89" t="e">
        <f>AND(#REF!,"AAAAAG7j/9c=")</f>
        <v>#REF!</v>
      </c>
      <c r="HI89" t="e">
        <f>AND(#REF!,"AAAAAG7j/9g=")</f>
        <v>#REF!</v>
      </c>
      <c r="HJ89" t="e">
        <f>AND(#REF!,"AAAAAG7j/9k=")</f>
        <v>#REF!</v>
      </c>
      <c r="HK89" t="e">
        <f>AND(#REF!,"AAAAAG7j/9o=")</f>
        <v>#REF!</v>
      </c>
      <c r="HL89" t="e">
        <f>IF(#REF!,"AAAAAG7j/9s=",0)</f>
        <v>#REF!</v>
      </c>
      <c r="HM89" t="e">
        <f>AND(#REF!,"AAAAAG7j/9w=")</f>
        <v>#REF!</v>
      </c>
      <c r="HN89" t="e">
        <f>AND(#REF!,"AAAAAG7j/90=")</f>
        <v>#REF!</v>
      </c>
      <c r="HO89" t="e">
        <f>AND(#REF!,"AAAAAG7j/94=")</f>
        <v>#REF!</v>
      </c>
      <c r="HP89" t="e">
        <f>AND(#REF!,"AAAAAG7j/98=")</f>
        <v>#REF!</v>
      </c>
      <c r="HQ89" t="e">
        <f>AND(#REF!,"AAAAAG7j/+A=")</f>
        <v>#REF!</v>
      </c>
      <c r="HR89" t="e">
        <f>AND(#REF!,"AAAAAG7j/+E=")</f>
        <v>#REF!</v>
      </c>
      <c r="HS89" t="e">
        <f>AND(#REF!,"AAAAAG7j/+I=")</f>
        <v>#REF!</v>
      </c>
      <c r="HT89" t="e">
        <f>AND(#REF!,"AAAAAG7j/+M=")</f>
        <v>#REF!</v>
      </c>
      <c r="HU89" t="e">
        <f>AND(#REF!,"AAAAAG7j/+Q=")</f>
        <v>#REF!</v>
      </c>
      <c r="HV89" t="e">
        <f>AND(#REF!,"AAAAAG7j/+U=")</f>
        <v>#REF!</v>
      </c>
      <c r="HW89" t="e">
        <f>AND(#REF!,"AAAAAG7j/+Y=")</f>
        <v>#REF!</v>
      </c>
      <c r="HX89" t="e">
        <f>AND(#REF!,"AAAAAG7j/+c=")</f>
        <v>#REF!</v>
      </c>
      <c r="HY89" t="e">
        <f>AND(#REF!,"AAAAAG7j/+g=")</f>
        <v>#REF!</v>
      </c>
      <c r="HZ89" t="e">
        <f>AND(#REF!,"AAAAAG7j/+k=")</f>
        <v>#REF!</v>
      </c>
      <c r="IA89" t="e">
        <f>AND(#REF!,"AAAAAG7j/+o=")</f>
        <v>#REF!</v>
      </c>
      <c r="IB89" t="e">
        <f>AND(#REF!,"AAAAAG7j/+s=")</f>
        <v>#REF!</v>
      </c>
      <c r="IC89" t="e">
        <f>AND(#REF!,"AAAAAG7j/+w=")</f>
        <v>#REF!</v>
      </c>
      <c r="ID89" t="e">
        <f>AND(#REF!,"AAAAAG7j/+0=")</f>
        <v>#REF!</v>
      </c>
      <c r="IE89" t="e">
        <f>AND(#REF!,"AAAAAG7j/+4=")</f>
        <v>#REF!</v>
      </c>
      <c r="IF89" t="e">
        <f>AND(#REF!,"AAAAAG7j/+8=")</f>
        <v>#REF!</v>
      </c>
      <c r="IG89" t="e">
        <f>AND(#REF!,"AAAAAG7j//A=")</f>
        <v>#REF!</v>
      </c>
      <c r="IH89" t="e">
        <f>AND(#REF!,"AAAAAG7j//E=")</f>
        <v>#REF!</v>
      </c>
      <c r="II89" t="e">
        <f>AND(#REF!,"AAAAAG7j//I=")</f>
        <v>#REF!</v>
      </c>
      <c r="IJ89" t="e">
        <f>AND(#REF!,"AAAAAG7j//M=")</f>
        <v>#REF!</v>
      </c>
      <c r="IK89" t="e">
        <f>AND(#REF!,"AAAAAG7j//Q=")</f>
        <v>#REF!</v>
      </c>
      <c r="IL89" t="e">
        <f>AND(#REF!,"AAAAAG7j//U=")</f>
        <v>#REF!</v>
      </c>
      <c r="IM89" t="e">
        <f>IF(#REF!,"AAAAAG7j//Y=",0)</f>
        <v>#REF!</v>
      </c>
      <c r="IN89" t="e">
        <f>AND(#REF!,"AAAAAG7j//c=")</f>
        <v>#REF!</v>
      </c>
      <c r="IO89" t="e">
        <f>AND(#REF!,"AAAAAG7j//g=")</f>
        <v>#REF!</v>
      </c>
      <c r="IP89" t="e">
        <f>AND(#REF!,"AAAAAG7j//k=")</f>
        <v>#REF!</v>
      </c>
      <c r="IQ89" t="e">
        <f>AND(#REF!,"AAAAAG7j//o=")</f>
        <v>#REF!</v>
      </c>
      <c r="IR89" t="e">
        <f>AND(#REF!,"AAAAAG7j//s=")</f>
        <v>#REF!</v>
      </c>
      <c r="IS89" t="e">
        <f>AND(#REF!,"AAAAAG7j//w=")</f>
        <v>#REF!</v>
      </c>
      <c r="IT89" t="e">
        <f>AND(#REF!,"AAAAAG7j//0=")</f>
        <v>#REF!</v>
      </c>
      <c r="IU89" t="e">
        <f>AND(#REF!,"AAAAAG7j//4=")</f>
        <v>#REF!</v>
      </c>
      <c r="IV89" t="e">
        <f>AND(#REF!,"AAAAAG7j//8=")</f>
        <v>#REF!</v>
      </c>
    </row>
    <row r="90" spans="1:256" x14ac:dyDescent="0.2">
      <c r="A90" t="e">
        <f>AND(#REF!,"AAAAAGvP/wA=")</f>
        <v>#REF!</v>
      </c>
      <c r="B90" t="e">
        <f>AND(#REF!,"AAAAAGvP/wE=")</f>
        <v>#REF!</v>
      </c>
      <c r="C90" t="e">
        <f>AND(#REF!,"AAAAAGvP/wI=")</f>
        <v>#REF!</v>
      </c>
      <c r="D90" t="e">
        <f>AND(#REF!,"AAAAAGvP/wM=")</f>
        <v>#REF!</v>
      </c>
      <c r="E90" t="e">
        <f>AND(#REF!,"AAAAAGvP/wQ=")</f>
        <v>#REF!</v>
      </c>
      <c r="F90" t="e">
        <f>AND(#REF!,"AAAAAGvP/wU=")</f>
        <v>#REF!</v>
      </c>
      <c r="G90" t="e">
        <f>AND(#REF!,"AAAAAGvP/wY=")</f>
        <v>#REF!</v>
      </c>
      <c r="H90" t="e">
        <f>AND(#REF!,"AAAAAGvP/wc=")</f>
        <v>#REF!</v>
      </c>
      <c r="I90" t="e">
        <f>AND(#REF!,"AAAAAGvP/wg=")</f>
        <v>#REF!</v>
      </c>
      <c r="J90" t="e">
        <f>AND(#REF!,"AAAAAGvP/wk=")</f>
        <v>#REF!</v>
      </c>
      <c r="K90" t="e">
        <f>AND(#REF!,"AAAAAGvP/wo=")</f>
        <v>#REF!</v>
      </c>
      <c r="L90" t="e">
        <f>AND(#REF!,"AAAAAGvP/ws=")</f>
        <v>#REF!</v>
      </c>
      <c r="M90" t="e">
        <f>AND(#REF!,"AAAAAGvP/ww=")</f>
        <v>#REF!</v>
      </c>
      <c r="N90" t="e">
        <f>AND(#REF!,"AAAAAGvP/w0=")</f>
        <v>#REF!</v>
      </c>
      <c r="O90" t="e">
        <f>AND(#REF!,"AAAAAGvP/w4=")</f>
        <v>#REF!</v>
      </c>
      <c r="P90" t="e">
        <f>AND(#REF!,"AAAAAGvP/w8=")</f>
        <v>#REF!</v>
      </c>
      <c r="Q90" t="e">
        <f>AND(#REF!,"AAAAAGvP/xA=")</f>
        <v>#REF!</v>
      </c>
      <c r="R90" t="e">
        <f>IF(#REF!,"AAAAAGvP/xE=",0)</f>
        <v>#REF!</v>
      </c>
      <c r="S90" t="e">
        <f>AND(#REF!,"AAAAAGvP/xI=")</f>
        <v>#REF!</v>
      </c>
      <c r="T90" t="e">
        <f>AND(#REF!,"AAAAAGvP/xM=")</f>
        <v>#REF!</v>
      </c>
      <c r="U90" t="e">
        <f>AND(#REF!,"AAAAAGvP/xQ=")</f>
        <v>#REF!</v>
      </c>
      <c r="V90" t="e">
        <f>AND(#REF!,"AAAAAGvP/xU=")</f>
        <v>#REF!</v>
      </c>
      <c r="W90" t="e">
        <f>AND(#REF!,"AAAAAGvP/xY=")</f>
        <v>#REF!</v>
      </c>
      <c r="X90" t="e">
        <f>AND(#REF!,"AAAAAGvP/xc=")</f>
        <v>#REF!</v>
      </c>
      <c r="Y90" t="e">
        <f>AND(#REF!,"AAAAAGvP/xg=")</f>
        <v>#REF!</v>
      </c>
      <c r="Z90" t="e">
        <f>AND(#REF!,"AAAAAGvP/xk=")</f>
        <v>#REF!</v>
      </c>
      <c r="AA90" t="e">
        <f>AND(#REF!,"AAAAAGvP/xo=")</f>
        <v>#REF!</v>
      </c>
      <c r="AB90" t="e">
        <f>AND(#REF!,"AAAAAGvP/xs=")</f>
        <v>#REF!</v>
      </c>
      <c r="AC90" t="e">
        <f>AND(#REF!,"AAAAAGvP/xw=")</f>
        <v>#REF!</v>
      </c>
      <c r="AD90" t="e">
        <f>AND(#REF!,"AAAAAGvP/x0=")</f>
        <v>#REF!</v>
      </c>
      <c r="AE90" t="e">
        <f>AND(#REF!,"AAAAAGvP/x4=")</f>
        <v>#REF!</v>
      </c>
      <c r="AF90" t="e">
        <f>AND(#REF!,"AAAAAGvP/x8=")</f>
        <v>#REF!</v>
      </c>
      <c r="AG90" t="e">
        <f>AND(#REF!,"AAAAAGvP/yA=")</f>
        <v>#REF!</v>
      </c>
      <c r="AH90" t="e">
        <f>AND(#REF!,"AAAAAGvP/yE=")</f>
        <v>#REF!</v>
      </c>
      <c r="AI90" t="e">
        <f>AND(#REF!,"AAAAAGvP/yI=")</f>
        <v>#REF!</v>
      </c>
      <c r="AJ90" t="e">
        <f>AND(#REF!,"AAAAAGvP/yM=")</f>
        <v>#REF!</v>
      </c>
      <c r="AK90" t="e">
        <f>AND(#REF!,"AAAAAGvP/yQ=")</f>
        <v>#REF!</v>
      </c>
      <c r="AL90" t="e">
        <f>AND(#REF!,"AAAAAGvP/yU=")</f>
        <v>#REF!</v>
      </c>
      <c r="AM90" t="e">
        <f>AND(#REF!,"AAAAAGvP/yY=")</f>
        <v>#REF!</v>
      </c>
      <c r="AN90" t="e">
        <f>AND(#REF!,"AAAAAGvP/yc=")</f>
        <v>#REF!</v>
      </c>
      <c r="AO90" t="e">
        <f>AND(#REF!,"AAAAAGvP/yg=")</f>
        <v>#REF!</v>
      </c>
      <c r="AP90" t="e">
        <f>AND(#REF!,"AAAAAGvP/yk=")</f>
        <v>#REF!</v>
      </c>
      <c r="AQ90" t="e">
        <f>AND(#REF!,"AAAAAGvP/yo=")</f>
        <v>#REF!</v>
      </c>
      <c r="AR90" t="e">
        <f>AND(#REF!,"AAAAAGvP/ys=")</f>
        <v>#REF!</v>
      </c>
      <c r="AS90" t="e">
        <f>IF(#REF!,"AAAAAGvP/yw=",0)</f>
        <v>#REF!</v>
      </c>
      <c r="AT90" t="e">
        <f>AND(#REF!,"AAAAAGvP/y0=")</f>
        <v>#REF!</v>
      </c>
      <c r="AU90" t="e">
        <f>AND(#REF!,"AAAAAGvP/y4=")</f>
        <v>#REF!</v>
      </c>
      <c r="AV90" t="e">
        <f>AND(#REF!,"AAAAAGvP/y8=")</f>
        <v>#REF!</v>
      </c>
      <c r="AW90" t="e">
        <f>AND(#REF!,"AAAAAGvP/zA=")</f>
        <v>#REF!</v>
      </c>
      <c r="AX90" t="e">
        <f>AND(#REF!,"AAAAAGvP/zE=")</f>
        <v>#REF!</v>
      </c>
      <c r="AY90" t="e">
        <f>AND(#REF!,"AAAAAGvP/zI=")</f>
        <v>#REF!</v>
      </c>
      <c r="AZ90" t="e">
        <f>AND(#REF!,"AAAAAGvP/zM=")</f>
        <v>#REF!</v>
      </c>
      <c r="BA90" t="e">
        <f>AND(#REF!,"AAAAAGvP/zQ=")</f>
        <v>#REF!</v>
      </c>
      <c r="BB90" t="e">
        <f>AND(#REF!,"AAAAAGvP/zU=")</f>
        <v>#REF!</v>
      </c>
      <c r="BC90" t="e">
        <f>AND(#REF!,"AAAAAGvP/zY=")</f>
        <v>#REF!</v>
      </c>
      <c r="BD90" t="e">
        <f>AND(#REF!,"AAAAAGvP/zc=")</f>
        <v>#REF!</v>
      </c>
      <c r="BE90" t="e">
        <f>AND(#REF!,"AAAAAGvP/zg=")</f>
        <v>#REF!</v>
      </c>
      <c r="BF90" t="e">
        <f>AND(#REF!,"AAAAAGvP/zk=")</f>
        <v>#REF!</v>
      </c>
      <c r="BG90" t="e">
        <f>AND(#REF!,"AAAAAGvP/zo=")</f>
        <v>#REF!</v>
      </c>
      <c r="BH90" t="e">
        <f>AND(#REF!,"AAAAAGvP/zs=")</f>
        <v>#REF!</v>
      </c>
      <c r="BI90" t="e">
        <f>AND(#REF!,"AAAAAGvP/zw=")</f>
        <v>#REF!</v>
      </c>
      <c r="BJ90" t="e">
        <f>AND(#REF!,"AAAAAGvP/z0=")</f>
        <v>#REF!</v>
      </c>
      <c r="BK90" t="e">
        <f>AND(#REF!,"AAAAAGvP/z4=")</f>
        <v>#REF!</v>
      </c>
      <c r="BL90" t="e">
        <f>AND(#REF!,"AAAAAGvP/z8=")</f>
        <v>#REF!</v>
      </c>
      <c r="BM90" t="e">
        <f>AND(#REF!,"AAAAAGvP/0A=")</f>
        <v>#REF!</v>
      </c>
      <c r="BN90" t="e">
        <f>AND(#REF!,"AAAAAGvP/0E=")</f>
        <v>#REF!</v>
      </c>
      <c r="BO90" t="e">
        <f>AND(#REF!,"AAAAAGvP/0I=")</f>
        <v>#REF!</v>
      </c>
      <c r="BP90" t="e">
        <f>AND(#REF!,"AAAAAGvP/0M=")</f>
        <v>#REF!</v>
      </c>
      <c r="BQ90" t="e">
        <f>AND(#REF!,"AAAAAGvP/0Q=")</f>
        <v>#REF!</v>
      </c>
      <c r="BR90" t="e">
        <f>AND(#REF!,"AAAAAGvP/0U=")</f>
        <v>#REF!</v>
      </c>
      <c r="BS90" t="e">
        <f>AND(#REF!,"AAAAAGvP/0Y=")</f>
        <v>#REF!</v>
      </c>
      <c r="BT90" t="e">
        <f>IF(#REF!,"AAAAAGvP/0c=",0)</f>
        <v>#REF!</v>
      </c>
      <c r="BU90" t="e">
        <f>AND(#REF!,"AAAAAGvP/0g=")</f>
        <v>#REF!</v>
      </c>
      <c r="BV90" t="e">
        <f>AND(#REF!,"AAAAAGvP/0k=")</f>
        <v>#REF!</v>
      </c>
      <c r="BW90" t="e">
        <f>AND(#REF!,"AAAAAGvP/0o=")</f>
        <v>#REF!</v>
      </c>
      <c r="BX90" t="e">
        <f>AND(#REF!,"AAAAAGvP/0s=")</f>
        <v>#REF!</v>
      </c>
      <c r="BY90" t="e">
        <f>AND(#REF!,"AAAAAGvP/0w=")</f>
        <v>#REF!</v>
      </c>
      <c r="BZ90" t="e">
        <f>AND(#REF!,"AAAAAGvP/00=")</f>
        <v>#REF!</v>
      </c>
      <c r="CA90" t="e">
        <f>AND(#REF!,"AAAAAGvP/04=")</f>
        <v>#REF!</v>
      </c>
      <c r="CB90" t="e">
        <f>AND(#REF!,"AAAAAGvP/08=")</f>
        <v>#REF!</v>
      </c>
      <c r="CC90" t="e">
        <f>AND(#REF!,"AAAAAGvP/1A=")</f>
        <v>#REF!</v>
      </c>
      <c r="CD90" t="e">
        <f>AND(#REF!,"AAAAAGvP/1E=")</f>
        <v>#REF!</v>
      </c>
      <c r="CE90" t="e">
        <f>AND(#REF!,"AAAAAGvP/1I=")</f>
        <v>#REF!</v>
      </c>
      <c r="CF90" t="e">
        <f>AND(#REF!,"AAAAAGvP/1M=")</f>
        <v>#REF!</v>
      </c>
      <c r="CG90" t="e">
        <f>AND(#REF!,"AAAAAGvP/1Q=")</f>
        <v>#REF!</v>
      </c>
      <c r="CH90" t="e">
        <f>AND(#REF!,"AAAAAGvP/1U=")</f>
        <v>#REF!</v>
      </c>
      <c r="CI90" t="e">
        <f>AND(#REF!,"AAAAAGvP/1Y=")</f>
        <v>#REF!</v>
      </c>
      <c r="CJ90" t="e">
        <f>AND(#REF!,"AAAAAGvP/1c=")</f>
        <v>#REF!</v>
      </c>
      <c r="CK90" t="e">
        <f>AND(#REF!,"AAAAAGvP/1g=")</f>
        <v>#REF!</v>
      </c>
      <c r="CL90" t="e">
        <f>AND(#REF!,"AAAAAGvP/1k=")</f>
        <v>#REF!</v>
      </c>
      <c r="CM90" t="e">
        <f>AND(#REF!,"AAAAAGvP/1o=")</f>
        <v>#REF!</v>
      </c>
      <c r="CN90" t="e">
        <f>AND(#REF!,"AAAAAGvP/1s=")</f>
        <v>#REF!</v>
      </c>
      <c r="CO90" t="e">
        <f>AND(#REF!,"AAAAAGvP/1w=")</f>
        <v>#REF!</v>
      </c>
      <c r="CP90" t="e">
        <f>AND(#REF!,"AAAAAGvP/10=")</f>
        <v>#REF!</v>
      </c>
      <c r="CQ90" t="e">
        <f>AND(#REF!,"AAAAAGvP/14=")</f>
        <v>#REF!</v>
      </c>
      <c r="CR90" t="e">
        <f>AND(#REF!,"AAAAAGvP/18=")</f>
        <v>#REF!</v>
      </c>
      <c r="CS90" t="e">
        <f>AND(#REF!,"AAAAAGvP/2A=")</f>
        <v>#REF!</v>
      </c>
      <c r="CT90" t="e">
        <f>AND(#REF!,"AAAAAGvP/2E=")</f>
        <v>#REF!</v>
      </c>
      <c r="CU90" t="e">
        <f>IF(#REF!,"AAAAAGvP/2I=",0)</f>
        <v>#REF!</v>
      </c>
      <c r="CV90" t="e">
        <f>AND(#REF!,"AAAAAGvP/2M=")</f>
        <v>#REF!</v>
      </c>
      <c r="CW90" t="e">
        <f>AND(#REF!,"AAAAAGvP/2Q=")</f>
        <v>#REF!</v>
      </c>
      <c r="CX90" t="e">
        <f>AND(#REF!,"AAAAAGvP/2U=")</f>
        <v>#REF!</v>
      </c>
      <c r="CY90" t="e">
        <f>AND(#REF!,"AAAAAGvP/2Y=")</f>
        <v>#REF!</v>
      </c>
      <c r="CZ90" t="e">
        <f>AND(#REF!,"AAAAAGvP/2c=")</f>
        <v>#REF!</v>
      </c>
      <c r="DA90" t="e">
        <f>AND(#REF!,"AAAAAGvP/2g=")</f>
        <v>#REF!</v>
      </c>
      <c r="DB90" t="e">
        <f>AND(#REF!,"AAAAAGvP/2k=")</f>
        <v>#REF!</v>
      </c>
      <c r="DC90" t="e">
        <f>AND(#REF!,"AAAAAGvP/2o=")</f>
        <v>#REF!</v>
      </c>
      <c r="DD90" t="e">
        <f>AND(#REF!,"AAAAAGvP/2s=")</f>
        <v>#REF!</v>
      </c>
      <c r="DE90" t="e">
        <f>AND(#REF!,"AAAAAGvP/2w=")</f>
        <v>#REF!</v>
      </c>
      <c r="DF90" t="e">
        <f>AND(#REF!,"AAAAAGvP/20=")</f>
        <v>#REF!</v>
      </c>
      <c r="DG90" t="e">
        <f>AND(#REF!,"AAAAAGvP/24=")</f>
        <v>#REF!</v>
      </c>
      <c r="DH90" t="e">
        <f>AND(#REF!,"AAAAAGvP/28=")</f>
        <v>#REF!</v>
      </c>
      <c r="DI90" t="e">
        <f>AND(#REF!,"AAAAAGvP/3A=")</f>
        <v>#REF!</v>
      </c>
      <c r="DJ90" t="e">
        <f>AND(#REF!,"AAAAAGvP/3E=")</f>
        <v>#REF!</v>
      </c>
      <c r="DK90" t="e">
        <f>AND(#REF!,"AAAAAGvP/3I=")</f>
        <v>#REF!</v>
      </c>
      <c r="DL90" t="e">
        <f>AND(#REF!,"AAAAAGvP/3M=")</f>
        <v>#REF!</v>
      </c>
      <c r="DM90" t="e">
        <f>AND(#REF!,"AAAAAGvP/3Q=")</f>
        <v>#REF!</v>
      </c>
      <c r="DN90" t="e">
        <f>AND(#REF!,"AAAAAGvP/3U=")</f>
        <v>#REF!</v>
      </c>
      <c r="DO90" t="e">
        <f>AND(#REF!,"AAAAAGvP/3Y=")</f>
        <v>#REF!</v>
      </c>
      <c r="DP90" t="e">
        <f>AND(#REF!,"AAAAAGvP/3c=")</f>
        <v>#REF!</v>
      </c>
      <c r="DQ90" t="e">
        <f>AND(#REF!,"AAAAAGvP/3g=")</f>
        <v>#REF!</v>
      </c>
      <c r="DR90" t="e">
        <f>AND(#REF!,"AAAAAGvP/3k=")</f>
        <v>#REF!</v>
      </c>
      <c r="DS90" t="e">
        <f>AND(#REF!,"AAAAAGvP/3o=")</f>
        <v>#REF!</v>
      </c>
      <c r="DT90" t="e">
        <f>AND(#REF!,"AAAAAGvP/3s=")</f>
        <v>#REF!</v>
      </c>
      <c r="DU90" t="e">
        <f>AND(#REF!,"AAAAAGvP/3w=")</f>
        <v>#REF!</v>
      </c>
      <c r="DV90" t="e">
        <f>IF(#REF!,"AAAAAGvP/30=",0)</f>
        <v>#REF!</v>
      </c>
      <c r="DW90" t="e">
        <f>AND(#REF!,"AAAAAGvP/34=")</f>
        <v>#REF!</v>
      </c>
      <c r="DX90" t="e">
        <f>AND(#REF!,"AAAAAGvP/38=")</f>
        <v>#REF!</v>
      </c>
      <c r="DY90" t="e">
        <f>AND(#REF!,"AAAAAGvP/4A=")</f>
        <v>#REF!</v>
      </c>
      <c r="DZ90" t="e">
        <f>AND(#REF!,"AAAAAGvP/4E=")</f>
        <v>#REF!</v>
      </c>
      <c r="EA90" t="e">
        <f>AND(#REF!,"AAAAAGvP/4I=")</f>
        <v>#REF!</v>
      </c>
      <c r="EB90" t="e">
        <f>AND(#REF!,"AAAAAGvP/4M=")</f>
        <v>#REF!</v>
      </c>
      <c r="EC90" t="e">
        <f>AND(#REF!,"AAAAAGvP/4Q=")</f>
        <v>#REF!</v>
      </c>
      <c r="ED90" t="e">
        <f>AND(#REF!,"AAAAAGvP/4U=")</f>
        <v>#REF!</v>
      </c>
      <c r="EE90" t="e">
        <f>AND(#REF!,"AAAAAGvP/4Y=")</f>
        <v>#REF!</v>
      </c>
      <c r="EF90" t="e">
        <f>AND(#REF!,"AAAAAGvP/4c=")</f>
        <v>#REF!</v>
      </c>
      <c r="EG90" t="e">
        <f>AND(#REF!,"AAAAAGvP/4g=")</f>
        <v>#REF!</v>
      </c>
      <c r="EH90" t="e">
        <f>AND(#REF!,"AAAAAGvP/4k=")</f>
        <v>#REF!</v>
      </c>
      <c r="EI90" t="e">
        <f>AND(#REF!,"AAAAAGvP/4o=")</f>
        <v>#REF!</v>
      </c>
      <c r="EJ90" t="e">
        <f>AND(#REF!,"AAAAAGvP/4s=")</f>
        <v>#REF!</v>
      </c>
      <c r="EK90" t="e">
        <f>AND(#REF!,"AAAAAGvP/4w=")</f>
        <v>#REF!</v>
      </c>
      <c r="EL90" t="e">
        <f>AND(#REF!,"AAAAAGvP/40=")</f>
        <v>#REF!</v>
      </c>
      <c r="EM90" t="e">
        <f>AND(#REF!,"AAAAAGvP/44=")</f>
        <v>#REF!</v>
      </c>
      <c r="EN90" t="e">
        <f>AND(#REF!,"AAAAAGvP/48=")</f>
        <v>#REF!</v>
      </c>
      <c r="EO90" t="e">
        <f>AND(#REF!,"AAAAAGvP/5A=")</f>
        <v>#REF!</v>
      </c>
      <c r="EP90" t="e">
        <f>AND(#REF!,"AAAAAGvP/5E=")</f>
        <v>#REF!</v>
      </c>
      <c r="EQ90" t="e">
        <f>AND(#REF!,"AAAAAGvP/5I=")</f>
        <v>#REF!</v>
      </c>
      <c r="ER90" t="e">
        <f>AND(#REF!,"AAAAAGvP/5M=")</f>
        <v>#REF!</v>
      </c>
      <c r="ES90" t="e">
        <f>AND(#REF!,"AAAAAGvP/5Q=")</f>
        <v>#REF!</v>
      </c>
      <c r="ET90" t="e">
        <f>AND(#REF!,"AAAAAGvP/5U=")</f>
        <v>#REF!</v>
      </c>
      <c r="EU90" t="e">
        <f>AND(#REF!,"AAAAAGvP/5Y=")</f>
        <v>#REF!</v>
      </c>
      <c r="EV90" t="e">
        <f>AND(#REF!,"AAAAAGvP/5c=")</f>
        <v>#REF!</v>
      </c>
      <c r="EW90" t="e">
        <f>IF(#REF!,"AAAAAGvP/5g=",0)</f>
        <v>#REF!</v>
      </c>
      <c r="EX90" t="e">
        <f>AND(#REF!,"AAAAAGvP/5k=")</f>
        <v>#REF!</v>
      </c>
      <c r="EY90" t="e">
        <f>AND(#REF!,"AAAAAGvP/5o=")</f>
        <v>#REF!</v>
      </c>
      <c r="EZ90" t="e">
        <f>AND(#REF!,"AAAAAGvP/5s=")</f>
        <v>#REF!</v>
      </c>
      <c r="FA90" t="e">
        <f>AND(#REF!,"AAAAAGvP/5w=")</f>
        <v>#REF!</v>
      </c>
      <c r="FB90" t="e">
        <f>AND(#REF!,"AAAAAGvP/50=")</f>
        <v>#REF!</v>
      </c>
      <c r="FC90" t="e">
        <f>AND(#REF!,"AAAAAGvP/54=")</f>
        <v>#REF!</v>
      </c>
      <c r="FD90" t="e">
        <f>AND(#REF!,"AAAAAGvP/58=")</f>
        <v>#REF!</v>
      </c>
      <c r="FE90" t="e">
        <f>AND(#REF!,"AAAAAGvP/6A=")</f>
        <v>#REF!</v>
      </c>
      <c r="FF90" t="e">
        <f>AND(#REF!,"AAAAAGvP/6E=")</f>
        <v>#REF!</v>
      </c>
      <c r="FG90" t="e">
        <f>AND(#REF!,"AAAAAGvP/6I=")</f>
        <v>#REF!</v>
      </c>
      <c r="FH90" t="e">
        <f>AND(#REF!,"AAAAAGvP/6M=")</f>
        <v>#REF!</v>
      </c>
      <c r="FI90" t="e">
        <f>AND(#REF!,"AAAAAGvP/6Q=")</f>
        <v>#REF!</v>
      </c>
      <c r="FJ90" t="e">
        <f>AND(#REF!,"AAAAAGvP/6U=")</f>
        <v>#REF!</v>
      </c>
      <c r="FK90" t="e">
        <f>AND(#REF!,"AAAAAGvP/6Y=")</f>
        <v>#REF!</v>
      </c>
      <c r="FL90" t="e">
        <f>AND(#REF!,"AAAAAGvP/6c=")</f>
        <v>#REF!</v>
      </c>
      <c r="FM90" t="e">
        <f>AND(#REF!,"AAAAAGvP/6g=")</f>
        <v>#REF!</v>
      </c>
      <c r="FN90" t="e">
        <f>AND(#REF!,"AAAAAGvP/6k=")</f>
        <v>#REF!</v>
      </c>
      <c r="FO90" t="e">
        <f>AND(#REF!,"AAAAAGvP/6o=")</f>
        <v>#REF!</v>
      </c>
      <c r="FP90" t="e">
        <f>AND(#REF!,"AAAAAGvP/6s=")</f>
        <v>#REF!</v>
      </c>
      <c r="FQ90" t="e">
        <f>AND(#REF!,"AAAAAGvP/6w=")</f>
        <v>#REF!</v>
      </c>
      <c r="FR90" t="e">
        <f>AND(#REF!,"AAAAAGvP/60=")</f>
        <v>#REF!</v>
      </c>
      <c r="FS90" t="e">
        <f>AND(#REF!,"AAAAAGvP/64=")</f>
        <v>#REF!</v>
      </c>
      <c r="FT90" t="e">
        <f>AND(#REF!,"AAAAAGvP/68=")</f>
        <v>#REF!</v>
      </c>
      <c r="FU90" t="e">
        <f>AND(#REF!,"AAAAAGvP/7A=")</f>
        <v>#REF!</v>
      </c>
      <c r="FV90" t="e">
        <f>AND(#REF!,"AAAAAGvP/7E=")</f>
        <v>#REF!</v>
      </c>
      <c r="FW90" t="e">
        <f>AND(#REF!,"AAAAAGvP/7I=")</f>
        <v>#REF!</v>
      </c>
      <c r="FX90" t="e">
        <f>IF(#REF!,"AAAAAGvP/7M=",0)</f>
        <v>#REF!</v>
      </c>
      <c r="FY90" t="e">
        <f>AND(#REF!,"AAAAAGvP/7Q=")</f>
        <v>#REF!</v>
      </c>
      <c r="FZ90" t="e">
        <f>AND(#REF!,"AAAAAGvP/7U=")</f>
        <v>#REF!</v>
      </c>
      <c r="GA90" t="e">
        <f>AND(#REF!,"AAAAAGvP/7Y=")</f>
        <v>#REF!</v>
      </c>
      <c r="GB90" t="e">
        <f>AND(#REF!,"AAAAAGvP/7c=")</f>
        <v>#REF!</v>
      </c>
      <c r="GC90" t="e">
        <f>AND(#REF!,"AAAAAGvP/7g=")</f>
        <v>#REF!</v>
      </c>
      <c r="GD90" t="e">
        <f>AND(#REF!,"AAAAAGvP/7k=")</f>
        <v>#REF!</v>
      </c>
      <c r="GE90" t="e">
        <f>AND(#REF!,"AAAAAGvP/7o=")</f>
        <v>#REF!</v>
      </c>
      <c r="GF90" t="e">
        <f>AND(#REF!,"AAAAAGvP/7s=")</f>
        <v>#REF!</v>
      </c>
      <c r="GG90" t="e">
        <f>AND(#REF!,"AAAAAGvP/7w=")</f>
        <v>#REF!</v>
      </c>
      <c r="GH90" t="e">
        <f>AND(#REF!,"AAAAAGvP/70=")</f>
        <v>#REF!</v>
      </c>
      <c r="GI90" t="e">
        <f>AND(#REF!,"AAAAAGvP/74=")</f>
        <v>#REF!</v>
      </c>
      <c r="GJ90" t="e">
        <f>AND(#REF!,"AAAAAGvP/78=")</f>
        <v>#REF!</v>
      </c>
      <c r="GK90" t="e">
        <f>AND(#REF!,"AAAAAGvP/8A=")</f>
        <v>#REF!</v>
      </c>
      <c r="GL90" t="e">
        <f>AND(#REF!,"AAAAAGvP/8E=")</f>
        <v>#REF!</v>
      </c>
      <c r="GM90" t="e">
        <f>AND(#REF!,"AAAAAGvP/8I=")</f>
        <v>#REF!</v>
      </c>
      <c r="GN90" t="e">
        <f>AND(#REF!,"AAAAAGvP/8M=")</f>
        <v>#REF!</v>
      </c>
      <c r="GO90" t="e">
        <f>AND(#REF!,"AAAAAGvP/8Q=")</f>
        <v>#REF!</v>
      </c>
      <c r="GP90" t="e">
        <f>AND(#REF!,"AAAAAGvP/8U=")</f>
        <v>#REF!</v>
      </c>
      <c r="GQ90" t="e">
        <f>AND(#REF!,"AAAAAGvP/8Y=")</f>
        <v>#REF!</v>
      </c>
      <c r="GR90" t="e">
        <f>AND(#REF!,"AAAAAGvP/8c=")</f>
        <v>#REF!</v>
      </c>
      <c r="GS90" t="e">
        <f>AND(#REF!,"AAAAAGvP/8g=")</f>
        <v>#REF!</v>
      </c>
      <c r="GT90" t="e">
        <f>AND(#REF!,"AAAAAGvP/8k=")</f>
        <v>#REF!</v>
      </c>
      <c r="GU90" t="e">
        <f>AND(#REF!,"AAAAAGvP/8o=")</f>
        <v>#REF!</v>
      </c>
      <c r="GV90" t="e">
        <f>AND(#REF!,"AAAAAGvP/8s=")</f>
        <v>#REF!</v>
      </c>
      <c r="GW90" t="e">
        <f>AND(#REF!,"AAAAAGvP/8w=")</f>
        <v>#REF!</v>
      </c>
      <c r="GX90" t="e">
        <f>AND(#REF!,"AAAAAGvP/80=")</f>
        <v>#REF!</v>
      </c>
      <c r="GY90" t="e">
        <f>IF(#REF!,"AAAAAGvP/84=",0)</f>
        <v>#REF!</v>
      </c>
      <c r="GZ90" t="e">
        <f>AND(#REF!,"AAAAAGvP/88=")</f>
        <v>#REF!</v>
      </c>
      <c r="HA90" t="e">
        <f>AND(#REF!,"AAAAAGvP/9A=")</f>
        <v>#REF!</v>
      </c>
      <c r="HB90" t="e">
        <f>AND(#REF!,"AAAAAGvP/9E=")</f>
        <v>#REF!</v>
      </c>
      <c r="HC90" t="e">
        <f>AND(#REF!,"AAAAAGvP/9I=")</f>
        <v>#REF!</v>
      </c>
      <c r="HD90" t="e">
        <f>AND(#REF!,"AAAAAGvP/9M=")</f>
        <v>#REF!</v>
      </c>
      <c r="HE90" t="e">
        <f>AND(#REF!,"AAAAAGvP/9Q=")</f>
        <v>#REF!</v>
      </c>
      <c r="HF90" t="e">
        <f>AND(#REF!,"AAAAAGvP/9U=")</f>
        <v>#REF!</v>
      </c>
      <c r="HG90" t="e">
        <f>AND(#REF!,"AAAAAGvP/9Y=")</f>
        <v>#REF!</v>
      </c>
      <c r="HH90" t="e">
        <f>AND(#REF!,"AAAAAGvP/9c=")</f>
        <v>#REF!</v>
      </c>
      <c r="HI90" t="e">
        <f>AND(#REF!,"AAAAAGvP/9g=")</f>
        <v>#REF!</v>
      </c>
      <c r="HJ90" t="e">
        <f>AND(#REF!,"AAAAAGvP/9k=")</f>
        <v>#REF!</v>
      </c>
      <c r="HK90" t="e">
        <f>AND(#REF!,"AAAAAGvP/9o=")</f>
        <v>#REF!</v>
      </c>
      <c r="HL90" t="e">
        <f>AND(#REF!,"AAAAAGvP/9s=")</f>
        <v>#REF!</v>
      </c>
      <c r="HM90" t="e">
        <f>AND(#REF!,"AAAAAGvP/9w=")</f>
        <v>#REF!</v>
      </c>
      <c r="HN90" t="e">
        <f>AND(#REF!,"AAAAAGvP/90=")</f>
        <v>#REF!</v>
      </c>
      <c r="HO90" t="e">
        <f>AND(#REF!,"AAAAAGvP/94=")</f>
        <v>#REF!</v>
      </c>
      <c r="HP90" t="e">
        <f>AND(#REF!,"AAAAAGvP/98=")</f>
        <v>#REF!</v>
      </c>
      <c r="HQ90" t="e">
        <f>AND(#REF!,"AAAAAGvP/+A=")</f>
        <v>#REF!</v>
      </c>
      <c r="HR90" t="e">
        <f>AND(#REF!,"AAAAAGvP/+E=")</f>
        <v>#REF!</v>
      </c>
      <c r="HS90" t="e">
        <f>AND(#REF!,"AAAAAGvP/+I=")</f>
        <v>#REF!</v>
      </c>
      <c r="HT90" t="e">
        <f>AND(#REF!,"AAAAAGvP/+M=")</f>
        <v>#REF!</v>
      </c>
      <c r="HU90" t="e">
        <f>AND(#REF!,"AAAAAGvP/+Q=")</f>
        <v>#REF!</v>
      </c>
      <c r="HV90" t="e">
        <f>AND(#REF!,"AAAAAGvP/+U=")</f>
        <v>#REF!</v>
      </c>
      <c r="HW90" t="e">
        <f>AND(#REF!,"AAAAAGvP/+Y=")</f>
        <v>#REF!</v>
      </c>
      <c r="HX90" t="e">
        <f>AND(#REF!,"AAAAAGvP/+c=")</f>
        <v>#REF!</v>
      </c>
      <c r="HY90" t="e">
        <f>AND(#REF!,"AAAAAGvP/+g=")</f>
        <v>#REF!</v>
      </c>
      <c r="HZ90" t="e">
        <f>IF(#REF!,"AAAAAGvP/+k=",0)</f>
        <v>#REF!</v>
      </c>
      <c r="IA90" t="e">
        <f>AND(#REF!,"AAAAAGvP/+o=")</f>
        <v>#REF!</v>
      </c>
      <c r="IB90" t="e">
        <f>AND(#REF!,"AAAAAGvP/+s=")</f>
        <v>#REF!</v>
      </c>
      <c r="IC90" t="e">
        <f>AND(#REF!,"AAAAAGvP/+w=")</f>
        <v>#REF!</v>
      </c>
      <c r="ID90" t="e">
        <f>AND(#REF!,"AAAAAGvP/+0=")</f>
        <v>#REF!</v>
      </c>
      <c r="IE90" t="e">
        <f>AND(#REF!,"AAAAAGvP/+4=")</f>
        <v>#REF!</v>
      </c>
      <c r="IF90" t="e">
        <f>AND(#REF!,"AAAAAGvP/+8=")</f>
        <v>#REF!</v>
      </c>
      <c r="IG90" t="e">
        <f>AND(#REF!,"AAAAAGvP//A=")</f>
        <v>#REF!</v>
      </c>
      <c r="IH90" t="e">
        <f>AND(#REF!,"AAAAAGvP//E=")</f>
        <v>#REF!</v>
      </c>
      <c r="II90" t="e">
        <f>AND(#REF!,"AAAAAGvP//I=")</f>
        <v>#REF!</v>
      </c>
      <c r="IJ90" t="e">
        <f>AND(#REF!,"AAAAAGvP//M=")</f>
        <v>#REF!</v>
      </c>
      <c r="IK90" t="e">
        <f>AND(#REF!,"AAAAAGvP//Q=")</f>
        <v>#REF!</v>
      </c>
      <c r="IL90" t="e">
        <f>AND(#REF!,"AAAAAGvP//U=")</f>
        <v>#REF!</v>
      </c>
      <c r="IM90" t="e">
        <f>AND(#REF!,"AAAAAGvP//Y=")</f>
        <v>#REF!</v>
      </c>
      <c r="IN90" t="e">
        <f>AND(#REF!,"AAAAAGvP//c=")</f>
        <v>#REF!</v>
      </c>
      <c r="IO90" t="e">
        <f>AND(#REF!,"AAAAAGvP//g=")</f>
        <v>#REF!</v>
      </c>
      <c r="IP90" t="e">
        <f>AND(#REF!,"AAAAAGvP//k=")</f>
        <v>#REF!</v>
      </c>
      <c r="IQ90" t="e">
        <f>AND(#REF!,"AAAAAGvP//o=")</f>
        <v>#REF!</v>
      </c>
      <c r="IR90" t="e">
        <f>AND(#REF!,"AAAAAGvP//s=")</f>
        <v>#REF!</v>
      </c>
      <c r="IS90" t="e">
        <f>AND(#REF!,"AAAAAGvP//w=")</f>
        <v>#REF!</v>
      </c>
      <c r="IT90" t="e">
        <f>AND(#REF!,"AAAAAGvP//0=")</f>
        <v>#REF!</v>
      </c>
      <c r="IU90" t="e">
        <f>AND(#REF!,"AAAAAGvP//4=")</f>
        <v>#REF!</v>
      </c>
      <c r="IV90" t="e">
        <f>AND(#REF!,"AAAAAGvP//8=")</f>
        <v>#REF!</v>
      </c>
    </row>
    <row r="91" spans="1:256" x14ac:dyDescent="0.2">
      <c r="A91" t="e">
        <f>AND(#REF!,"AAAAAH9OawA=")</f>
        <v>#REF!</v>
      </c>
      <c r="B91" t="e">
        <f>AND(#REF!,"AAAAAH9OawE=")</f>
        <v>#REF!</v>
      </c>
      <c r="C91" t="e">
        <f>AND(#REF!,"AAAAAH9OawI=")</f>
        <v>#REF!</v>
      </c>
      <c r="D91" t="e">
        <f>AND(#REF!,"AAAAAH9OawM=")</f>
        <v>#REF!</v>
      </c>
      <c r="E91" t="e">
        <f>IF(#REF!,"AAAAAH9OawQ=",0)</f>
        <v>#REF!</v>
      </c>
      <c r="F91" t="e">
        <f>AND(#REF!,"AAAAAH9OawU=")</f>
        <v>#REF!</v>
      </c>
      <c r="G91" t="e">
        <f>AND(#REF!,"AAAAAH9OawY=")</f>
        <v>#REF!</v>
      </c>
      <c r="H91" t="e">
        <f>AND(#REF!,"AAAAAH9Oawc=")</f>
        <v>#REF!</v>
      </c>
      <c r="I91" t="e">
        <f>AND(#REF!,"AAAAAH9Oawg=")</f>
        <v>#REF!</v>
      </c>
      <c r="J91" t="e">
        <f>AND(#REF!,"AAAAAH9Oawk=")</f>
        <v>#REF!</v>
      </c>
      <c r="K91" t="e">
        <f>AND(#REF!,"AAAAAH9Oawo=")</f>
        <v>#REF!</v>
      </c>
      <c r="L91" t="e">
        <f>AND(#REF!,"AAAAAH9Oaws=")</f>
        <v>#REF!</v>
      </c>
      <c r="M91" t="e">
        <f>AND(#REF!,"AAAAAH9Oaww=")</f>
        <v>#REF!</v>
      </c>
      <c r="N91" t="e">
        <f>AND(#REF!,"AAAAAH9Oaw0=")</f>
        <v>#REF!</v>
      </c>
      <c r="O91" t="e">
        <f>AND(#REF!,"AAAAAH9Oaw4=")</f>
        <v>#REF!</v>
      </c>
      <c r="P91" t="e">
        <f>AND(#REF!,"AAAAAH9Oaw8=")</f>
        <v>#REF!</v>
      </c>
      <c r="Q91" t="e">
        <f>AND(#REF!,"AAAAAH9OaxA=")</f>
        <v>#REF!</v>
      </c>
      <c r="R91" t="e">
        <f>AND(#REF!,"AAAAAH9OaxE=")</f>
        <v>#REF!</v>
      </c>
      <c r="S91" t="e">
        <f>AND(#REF!,"AAAAAH9OaxI=")</f>
        <v>#REF!</v>
      </c>
      <c r="T91" t="e">
        <f>AND(#REF!,"AAAAAH9OaxM=")</f>
        <v>#REF!</v>
      </c>
      <c r="U91" t="e">
        <f>AND(#REF!,"AAAAAH9OaxQ=")</f>
        <v>#REF!</v>
      </c>
      <c r="V91" t="e">
        <f>AND(#REF!,"AAAAAH9OaxU=")</f>
        <v>#REF!</v>
      </c>
      <c r="W91" t="e">
        <f>AND(#REF!,"AAAAAH9OaxY=")</f>
        <v>#REF!</v>
      </c>
      <c r="X91" t="e">
        <f>AND(#REF!,"AAAAAH9Oaxc=")</f>
        <v>#REF!</v>
      </c>
      <c r="Y91" t="e">
        <f>AND(#REF!,"AAAAAH9Oaxg=")</f>
        <v>#REF!</v>
      </c>
      <c r="Z91" t="e">
        <f>AND(#REF!,"AAAAAH9Oaxk=")</f>
        <v>#REF!</v>
      </c>
      <c r="AA91" t="e">
        <f>AND(#REF!,"AAAAAH9Oaxo=")</f>
        <v>#REF!</v>
      </c>
      <c r="AB91" t="e">
        <f>AND(#REF!,"AAAAAH9Oaxs=")</f>
        <v>#REF!</v>
      </c>
      <c r="AC91" t="e">
        <f>AND(#REF!,"AAAAAH9Oaxw=")</f>
        <v>#REF!</v>
      </c>
      <c r="AD91" t="e">
        <f>AND(#REF!,"AAAAAH9Oax0=")</f>
        <v>#REF!</v>
      </c>
      <c r="AE91" t="e">
        <f>AND(#REF!,"AAAAAH9Oax4=")</f>
        <v>#REF!</v>
      </c>
      <c r="AF91" t="e">
        <f>IF(#REF!,"AAAAAH9Oax8=",0)</f>
        <v>#REF!</v>
      </c>
      <c r="AG91" t="e">
        <f>AND(#REF!,"AAAAAH9OayA=")</f>
        <v>#REF!</v>
      </c>
      <c r="AH91" t="e">
        <f>AND(#REF!,"AAAAAH9OayE=")</f>
        <v>#REF!</v>
      </c>
      <c r="AI91" t="e">
        <f>AND(#REF!,"AAAAAH9OayI=")</f>
        <v>#REF!</v>
      </c>
      <c r="AJ91" t="e">
        <f>AND(#REF!,"AAAAAH9OayM=")</f>
        <v>#REF!</v>
      </c>
      <c r="AK91" t="e">
        <f>AND(#REF!,"AAAAAH9OayQ=")</f>
        <v>#REF!</v>
      </c>
      <c r="AL91" t="e">
        <f>AND(#REF!,"AAAAAH9OayU=")</f>
        <v>#REF!</v>
      </c>
      <c r="AM91" t="e">
        <f>AND(#REF!,"AAAAAH9OayY=")</f>
        <v>#REF!</v>
      </c>
      <c r="AN91" t="e">
        <f>AND(#REF!,"AAAAAH9Oayc=")</f>
        <v>#REF!</v>
      </c>
      <c r="AO91" t="e">
        <f>AND(#REF!,"AAAAAH9Oayg=")</f>
        <v>#REF!</v>
      </c>
      <c r="AP91" t="e">
        <f>AND(#REF!,"AAAAAH9Oayk=")</f>
        <v>#REF!</v>
      </c>
      <c r="AQ91" t="e">
        <f>AND(#REF!,"AAAAAH9Oayo=")</f>
        <v>#REF!</v>
      </c>
      <c r="AR91" t="e">
        <f>AND(#REF!,"AAAAAH9Oays=")</f>
        <v>#REF!</v>
      </c>
      <c r="AS91" t="e">
        <f>AND(#REF!,"AAAAAH9Oayw=")</f>
        <v>#REF!</v>
      </c>
      <c r="AT91" t="e">
        <f>AND(#REF!,"AAAAAH9Oay0=")</f>
        <v>#REF!</v>
      </c>
      <c r="AU91" t="e">
        <f>AND(#REF!,"AAAAAH9Oay4=")</f>
        <v>#REF!</v>
      </c>
      <c r="AV91" t="e">
        <f>AND(#REF!,"AAAAAH9Oay8=")</f>
        <v>#REF!</v>
      </c>
      <c r="AW91" t="e">
        <f>AND(#REF!,"AAAAAH9OazA=")</f>
        <v>#REF!</v>
      </c>
      <c r="AX91" t="e">
        <f>AND(#REF!,"AAAAAH9OazE=")</f>
        <v>#REF!</v>
      </c>
      <c r="AY91" t="e">
        <f>AND(#REF!,"AAAAAH9OazI=")</f>
        <v>#REF!</v>
      </c>
      <c r="AZ91" t="e">
        <f>AND(#REF!,"AAAAAH9OazM=")</f>
        <v>#REF!</v>
      </c>
      <c r="BA91" t="e">
        <f>AND(#REF!,"AAAAAH9OazQ=")</f>
        <v>#REF!</v>
      </c>
      <c r="BB91" t="e">
        <f>AND(#REF!,"AAAAAH9OazU=")</f>
        <v>#REF!</v>
      </c>
      <c r="BC91" t="e">
        <f>AND(#REF!,"AAAAAH9OazY=")</f>
        <v>#REF!</v>
      </c>
      <c r="BD91" t="e">
        <f>AND(#REF!,"AAAAAH9Oazc=")</f>
        <v>#REF!</v>
      </c>
      <c r="BE91" t="e">
        <f>AND(#REF!,"AAAAAH9Oazg=")</f>
        <v>#REF!</v>
      </c>
      <c r="BF91" t="e">
        <f>AND(#REF!,"AAAAAH9Oazk=")</f>
        <v>#REF!</v>
      </c>
      <c r="BG91" t="e">
        <f>IF(#REF!,"AAAAAH9Oazo=",0)</f>
        <v>#REF!</v>
      </c>
      <c r="BH91" t="e">
        <f>AND(#REF!,"AAAAAH9Oazs=")</f>
        <v>#REF!</v>
      </c>
      <c r="BI91" t="e">
        <f>AND(#REF!,"AAAAAH9Oazw=")</f>
        <v>#REF!</v>
      </c>
      <c r="BJ91" t="e">
        <f>AND(#REF!,"AAAAAH9Oaz0=")</f>
        <v>#REF!</v>
      </c>
      <c r="BK91" t="e">
        <f>AND(#REF!,"AAAAAH9Oaz4=")</f>
        <v>#REF!</v>
      </c>
      <c r="BL91" t="e">
        <f>AND(#REF!,"AAAAAH9Oaz8=")</f>
        <v>#REF!</v>
      </c>
      <c r="BM91" t="e">
        <f>AND(#REF!,"AAAAAH9Oa0A=")</f>
        <v>#REF!</v>
      </c>
      <c r="BN91" t="e">
        <f>AND(#REF!,"AAAAAH9Oa0E=")</f>
        <v>#REF!</v>
      </c>
      <c r="BO91" t="e">
        <f>AND(#REF!,"AAAAAH9Oa0I=")</f>
        <v>#REF!</v>
      </c>
      <c r="BP91" t="e">
        <f>AND(#REF!,"AAAAAH9Oa0M=")</f>
        <v>#REF!</v>
      </c>
      <c r="BQ91" t="e">
        <f>AND(#REF!,"AAAAAH9Oa0Q=")</f>
        <v>#REF!</v>
      </c>
      <c r="BR91" t="e">
        <f>AND(#REF!,"AAAAAH9Oa0U=")</f>
        <v>#REF!</v>
      </c>
      <c r="BS91" t="e">
        <f>AND(#REF!,"AAAAAH9Oa0Y=")</f>
        <v>#REF!</v>
      </c>
      <c r="BT91" t="e">
        <f>AND(#REF!,"AAAAAH9Oa0c=")</f>
        <v>#REF!</v>
      </c>
      <c r="BU91" t="e">
        <f>AND(#REF!,"AAAAAH9Oa0g=")</f>
        <v>#REF!</v>
      </c>
      <c r="BV91" t="e">
        <f>AND(#REF!,"AAAAAH9Oa0k=")</f>
        <v>#REF!</v>
      </c>
      <c r="BW91" t="e">
        <f>AND(#REF!,"AAAAAH9Oa0o=")</f>
        <v>#REF!</v>
      </c>
      <c r="BX91" t="e">
        <f>AND(#REF!,"AAAAAH9Oa0s=")</f>
        <v>#REF!</v>
      </c>
      <c r="BY91" t="e">
        <f>AND(#REF!,"AAAAAH9Oa0w=")</f>
        <v>#REF!</v>
      </c>
      <c r="BZ91" t="e">
        <f>AND(#REF!,"AAAAAH9Oa00=")</f>
        <v>#REF!</v>
      </c>
      <c r="CA91" t="e">
        <f>AND(#REF!,"AAAAAH9Oa04=")</f>
        <v>#REF!</v>
      </c>
      <c r="CB91" t="e">
        <f>AND(#REF!,"AAAAAH9Oa08=")</f>
        <v>#REF!</v>
      </c>
      <c r="CC91" t="e">
        <f>AND(#REF!,"AAAAAH9Oa1A=")</f>
        <v>#REF!</v>
      </c>
      <c r="CD91" t="e">
        <f>AND(#REF!,"AAAAAH9Oa1E=")</f>
        <v>#REF!</v>
      </c>
      <c r="CE91" t="e">
        <f>AND(#REF!,"AAAAAH9Oa1I=")</f>
        <v>#REF!</v>
      </c>
      <c r="CF91" t="e">
        <f>AND(#REF!,"AAAAAH9Oa1M=")</f>
        <v>#REF!</v>
      </c>
      <c r="CG91" t="e">
        <f>AND(#REF!,"AAAAAH9Oa1Q=")</f>
        <v>#REF!</v>
      </c>
      <c r="CH91" t="e">
        <f>IF(#REF!,"AAAAAH9Oa1U=",0)</f>
        <v>#REF!</v>
      </c>
      <c r="CI91" t="e">
        <f>AND(#REF!,"AAAAAH9Oa1Y=")</f>
        <v>#REF!</v>
      </c>
      <c r="CJ91" t="e">
        <f>AND(#REF!,"AAAAAH9Oa1c=")</f>
        <v>#REF!</v>
      </c>
      <c r="CK91" t="e">
        <f>AND(#REF!,"AAAAAH9Oa1g=")</f>
        <v>#REF!</v>
      </c>
      <c r="CL91" t="e">
        <f>AND(#REF!,"AAAAAH9Oa1k=")</f>
        <v>#REF!</v>
      </c>
      <c r="CM91" t="e">
        <f>AND(#REF!,"AAAAAH9Oa1o=")</f>
        <v>#REF!</v>
      </c>
      <c r="CN91" t="e">
        <f>AND(#REF!,"AAAAAH9Oa1s=")</f>
        <v>#REF!</v>
      </c>
      <c r="CO91" t="e">
        <f>AND(#REF!,"AAAAAH9Oa1w=")</f>
        <v>#REF!</v>
      </c>
      <c r="CP91" t="e">
        <f>AND(#REF!,"AAAAAH9Oa10=")</f>
        <v>#REF!</v>
      </c>
      <c r="CQ91" t="e">
        <f>AND(#REF!,"AAAAAH9Oa14=")</f>
        <v>#REF!</v>
      </c>
      <c r="CR91" t="e">
        <f>AND(#REF!,"AAAAAH9Oa18=")</f>
        <v>#REF!</v>
      </c>
      <c r="CS91" t="e">
        <f>AND(#REF!,"AAAAAH9Oa2A=")</f>
        <v>#REF!</v>
      </c>
      <c r="CT91" t="e">
        <f>AND(#REF!,"AAAAAH9Oa2E=")</f>
        <v>#REF!</v>
      </c>
      <c r="CU91" t="e">
        <f>AND(#REF!,"AAAAAH9Oa2I=")</f>
        <v>#REF!</v>
      </c>
      <c r="CV91" t="e">
        <f>AND(#REF!,"AAAAAH9Oa2M=")</f>
        <v>#REF!</v>
      </c>
      <c r="CW91" t="e">
        <f>AND(#REF!,"AAAAAH9Oa2Q=")</f>
        <v>#REF!</v>
      </c>
      <c r="CX91" t="e">
        <f>AND(#REF!,"AAAAAH9Oa2U=")</f>
        <v>#REF!</v>
      </c>
      <c r="CY91" t="e">
        <f>AND(#REF!,"AAAAAH9Oa2Y=")</f>
        <v>#REF!</v>
      </c>
      <c r="CZ91" t="e">
        <f>AND(#REF!,"AAAAAH9Oa2c=")</f>
        <v>#REF!</v>
      </c>
      <c r="DA91" t="e">
        <f>AND(#REF!,"AAAAAH9Oa2g=")</f>
        <v>#REF!</v>
      </c>
      <c r="DB91" t="e">
        <f>AND(#REF!,"AAAAAH9Oa2k=")</f>
        <v>#REF!</v>
      </c>
      <c r="DC91" t="e">
        <f>AND(#REF!,"AAAAAH9Oa2o=")</f>
        <v>#REF!</v>
      </c>
      <c r="DD91" t="e">
        <f>AND(#REF!,"AAAAAH9Oa2s=")</f>
        <v>#REF!</v>
      </c>
      <c r="DE91" t="e">
        <f>AND(#REF!,"AAAAAH9Oa2w=")</f>
        <v>#REF!</v>
      </c>
      <c r="DF91" t="e">
        <f>AND(#REF!,"AAAAAH9Oa20=")</f>
        <v>#REF!</v>
      </c>
      <c r="DG91" t="e">
        <f>AND(#REF!,"AAAAAH9Oa24=")</f>
        <v>#REF!</v>
      </c>
      <c r="DH91" t="e">
        <f>AND(#REF!,"AAAAAH9Oa28=")</f>
        <v>#REF!</v>
      </c>
      <c r="DI91" t="e">
        <f>IF(#REF!,"AAAAAH9Oa3A=",0)</f>
        <v>#REF!</v>
      </c>
      <c r="DJ91" t="e">
        <f>AND(#REF!,"AAAAAH9Oa3E=")</f>
        <v>#REF!</v>
      </c>
      <c r="DK91" t="e">
        <f>AND(#REF!,"AAAAAH9Oa3I=")</f>
        <v>#REF!</v>
      </c>
      <c r="DL91" t="e">
        <f>AND(#REF!,"AAAAAH9Oa3M=")</f>
        <v>#REF!</v>
      </c>
      <c r="DM91" t="e">
        <f>AND(#REF!,"AAAAAH9Oa3Q=")</f>
        <v>#REF!</v>
      </c>
      <c r="DN91" t="e">
        <f>AND(#REF!,"AAAAAH9Oa3U=")</f>
        <v>#REF!</v>
      </c>
      <c r="DO91" t="e">
        <f>AND(#REF!,"AAAAAH9Oa3Y=")</f>
        <v>#REF!</v>
      </c>
      <c r="DP91" t="e">
        <f>AND(#REF!,"AAAAAH9Oa3c=")</f>
        <v>#REF!</v>
      </c>
      <c r="DQ91" t="e">
        <f>AND(#REF!,"AAAAAH9Oa3g=")</f>
        <v>#REF!</v>
      </c>
      <c r="DR91" t="e">
        <f>AND(#REF!,"AAAAAH9Oa3k=")</f>
        <v>#REF!</v>
      </c>
      <c r="DS91" t="e">
        <f>AND(#REF!,"AAAAAH9Oa3o=")</f>
        <v>#REF!</v>
      </c>
      <c r="DT91" t="e">
        <f>AND(#REF!,"AAAAAH9Oa3s=")</f>
        <v>#REF!</v>
      </c>
      <c r="DU91" t="e">
        <f>AND(#REF!,"AAAAAH9Oa3w=")</f>
        <v>#REF!</v>
      </c>
      <c r="DV91" t="e">
        <f>AND(#REF!,"AAAAAH9Oa30=")</f>
        <v>#REF!</v>
      </c>
      <c r="DW91" t="e">
        <f>AND(#REF!,"AAAAAH9Oa34=")</f>
        <v>#REF!</v>
      </c>
      <c r="DX91" t="e">
        <f>AND(#REF!,"AAAAAH9Oa38=")</f>
        <v>#REF!</v>
      </c>
      <c r="DY91" t="e">
        <f>AND(#REF!,"AAAAAH9Oa4A=")</f>
        <v>#REF!</v>
      </c>
      <c r="DZ91" t="e">
        <f>AND(#REF!,"AAAAAH9Oa4E=")</f>
        <v>#REF!</v>
      </c>
      <c r="EA91" t="e">
        <f>AND(#REF!,"AAAAAH9Oa4I=")</f>
        <v>#REF!</v>
      </c>
      <c r="EB91" t="e">
        <f>AND(#REF!,"AAAAAH9Oa4M=")</f>
        <v>#REF!</v>
      </c>
      <c r="EC91" t="e">
        <f>AND(#REF!,"AAAAAH9Oa4Q=")</f>
        <v>#REF!</v>
      </c>
      <c r="ED91" t="e">
        <f>AND(#REF!,"AAAAAH9Oa4U=")</f>
        <v>#REF!</v>
      </c>
      <c r="EE91" t="e">
        <f>AND(#REF!,"AAAAAH9Oa4Y=")</f>
        <v>#REF!</v>
      </c>
      <c r="EF91" t="e">
        <f>AND(#REF!,"AAAAAH9Oa4c=")</f>
        <v>#REF!</v>
      </c>
      <c r="EG91" t="e">
        <f>AND(#REF!,"AAAAAH9Oa4g=")</f>
        <v>#REF!</v>
      </c>
      <c r="EH91" t="e">
        <f>AND(#REF!,"AAAAAH9Oa4k=")</f>
        <v>#REF!</v>
      </c>
      <c r="EI91" t="e">
        <f>AND(#REF!,"AAAAAH9Oa4o=")</f>
        <v>#REF!</v>
      </c>
      <c r="EJ91" t="e">
        <f>IF(#REF!,"AAAAAH9Oa4s=",0)</f>
        <v>#REF!</v>
      </c>
      <c r="EK91" t="e">
        <f>AND(#REF!,"AAAAAH9Oa4w=")</f>
        <v>#REF!</v>
      </c>
      <c r="EL91" t="e">
        <f>AND(#REF!,"AAAAAH9Oa40=")</f>
        <v>#REF!</v>
      </c>
      <c r="EM91" t="e">
        <f>AND(#REF!,"AAAAAH9Oa44=")</f>
        <v>#REF!</v>
      </c>
      <c r="EN91" t="e">
        <f>AND(#REF!,"AAAAAH9Oa48=")</f>
        <v>#REF!</v>
      </c>
      <c r="EO91" t="e">
        <f>AND(#REF!,"AAAAAH9Oa5A=")</f>
        <v>#REF!</v>
      </c>
      <c r="EP91" t="e">
        <f>AND(#REF!,"AAAAAH9Oa5E=")</f>
        <v>#REF!</v>
      </c>
      <c r="EQ91" t="e">
        <f>AND(#REF!,"AAAAAH9Oa5I=")</f>
        <v>#REF!</v>
      </c>
      <c r="ER91" t="e">
        <f>AND(#REF!,"AAAAAH9Oa5M=")</f>
        <v>#REF!</v>
      </c>
      <c r="ES91" t="e">
        <f>AND(#REF!,"AAAAAH9Oa5Q=")</f>
        <v>#REF!</v>
      </c>
      <c r="ET91" t="e">
        <f>AND(#REF!,"AAAAAH9Oa5U=")</f>
        <v>#REF!</v>
      </c>
      <c r="EU91" t="e">
        <f>AND(#REF!,"AAAAAH9Oa5Y=")</f>
        <v>#REF!</v>
      </c>
      <c r="EV91" t="e">
        <f>AND(#REF!,"AAAAAH9Oa5c=")</f>
        <v>#REF!</v>
      </c>
      <c r="EW91" t="e">
        <f>AND(#REF!,"AAAAAH9Oa5g=")</f>
        <v>#REF!</v>
      </c>
      <c r="EX91" t="e">
        <f>AND(#REF!,"AAAAAH9Oa5k=")</f>
        <v>#REF!</v>
      </c>
      <c r="EY91" t="e">
        <f>AND(#REF!,"AAAAAH9Oa5o=")</f>
        <v>#REF!</v>
      </c>
      <c r="EZ91" t="e">
        <f>AND(#REF!,"AAAAAH9Oa5s=")</f>
        <v>#REF!</v>
      </c>
      <c r="FA91" t="e">
        <f>AND(#REF!,"AAAAAH9Oa5w=")</f>
        <v>#REF!</v>
      </c>
      <c r="FB91" t="e">
        <f>AND(#REF!,"AAAAAH9Oa50=")</f>
        <v>#REF!</v>
      </c>
      <c r="FC91" t="e">
        <f>AND(#REF!,"AAAAAH9Oa54=")</f>
        <v>#REF!</v>
      </c>
      <c r="FD91" t="e">
        <f>AND(#REF!,"AAAAAH9Oa58=")</f>
        <v>#REF!</v>
      </c>
      <c r="FE91" t="e">
        <f>AND(#REF!,"AAAAAH9Oa6A=")</f>
        <v>#REF!</v>
      </c>
      <c r="FF91" t="e">
        <f>AND(#REF!,"AAAAAH9Oa6E=")</f>
        <v>#REF!</v>
      </c>
      <c r="FG91" t="e">
        <f>AND(#REF!,"AAAAAH9Oa6I=")</f>
        <v>#REF!</v>
      </c>
      <c r="FH91" t="e">
        <f>AND(#REF!,"AAAAAH9Oa6M=")</f>
        <v>#REF!</v>
      </c>
      <c r="FI91" t="e">
        <f>AND(#REF!,"AAAAAH9Oa6Q=")</f>
        <v>#REF!</v>
      </c>
      <c r="FJ91" t="e">
        <f>AND(#REF!,"AAAAAH9Oa6U=")</f>
        <v>#REF!</v>
      </c>
      <c r="FK91" t="e">
        <f>IF(#REF!,"AAAAAH9Oa6Y=",0)</f>
        <v>#REF!</v>
      </c>
      <c r="FL91" t="e">
        <f>AND(#REF!,"AAAAAH9Oa6c=")</f>
        <v>#REF!</v>
      </c>
      <c r="FM91" t="e">
        <f>AND(#REF!,"AAAAAH9Oa6g=")</f>
        <v>#REF!</v>
      </c>
      <c r="FN91" t="e">
        <f>AND(#REF!,"AAAAAH9Oa6k=")</f>
        <v>#REF!</v>
      </c>
      <c r="FO91" t="e">
        <f>AND(#REF!,"AAAAAH9Oa6o=")</f>
        <v>#REF!</v>
      </c>
      <c r="FP91" t="e">
        <f>AND(#REF!,"AAAAAH9Oa6s=")</f>
        <v>#REF!</v>
      </c>
      <c r="FQ91" t="e">
        <f>AND(#REF!,"AAAAAH9Oa6w=")</f>
        <v>#REF!</v>
      </c>
      <c r="FR91" t="e">
        <f>AND(#REF!,"AAAAAH9Oa60=")</f>
        <v>#REF!</v>
      </c>
      <c r="FS91" t="e">
        <f>AND(#REF!,"AAAAAH9Oa64=")</f>
        <v>#REF!</v>
      </c>
      <c r="FT91" t="e">
        <f>AND(#REF!,"AAAAAH9Oa68=")</f>
        <v>#REF!</v>
      </c>
      <c r="FU91" t="e">
        <f>AND(#REF!,"AAAAAH9Oa7A=")</f>
        <v>#REF!</v>
      </c>
      <c r="FV91" t="e">
        <f>AND(#REF!,"AAAAAH9Oa7E=")</f>
        <v>#REF!</v>
      </c>
      <c r="FW91" t="e">
        <f>AND(#REF!,"AAAAAH9Oa7I=")</f>
        <v>#REF!</v>
      </c>
      <c r="FX91" t="e">
        <f>AND(#REF!,"AAAAAH9Oa7M=")</f>
        <v>#REF!</v>
      </c>
      <c r="FY91" t="e">
        <f>AND(#REF!,"AAAAAH9Oa7Q=")</f>
        <v>#REF!</v>
      </c>
      <c r="FZ91" t="e">
        <f>AND(#REF!,"AAAAAH9Oa7U=")</f>
        <v>#REF!</v>
      </c>
      <c r="GA91" t="e">
        <f>AND(#REF!,"AAAAAH9Oa7Y=")</f>
        <v>#REF!</v>
      </c>
      <c r="GB91" t="e">
        <f>AND(#REF!,"AAAAAH9Oa7c=")</f>
        <v>#REF!</v>
      </c>
      <c r="GC91" t="e">
        <f>AND(#REF!,"AAAAAH9Oa7g=")</f>
        <v>#REF!</v>
      </c>
      <c r="GD91" t="e">
        <f>AND(#REF!,"AAAAAH9Oa7k=")</f>
        <v>#REF!</v>
      </c>
      <c r="GE91" t="e">
        <f>AND(#REF!,"AAAAAH9Oa7o=")</f>
        <v>#REF!</v>
      </c>
      <c r="GF91" t="e">
        <f>AND(#REF!,"AAAAAH9Oa7s=")</f>
        <v>#REF!</v>
      </c>
      <c r="GG91" t="e">
        <f>AND(#REF!,"AAAAAH9Oa7w=")</f>
        <v>#REF!</v>
      </c>
      <c r="GH91" t="e">
        <f>AND(#REF!,"AAAAAH9Oa70=")</f>
        <v>#REF!</v>
      </c>
      <c r="GI91" t="e">
        <f>AND(#REF!,"AAAAAH9Oa74=")</f>
        <v>#REF!</v>
      </c>
      <c r="GJ91" t="e">
        <f>AND(#REF!,"AAAAAH9Oa78=")</f>
        <v>#REF!</v>
      </c>
      <c r="GK91" t="e">
        <f>AND(#REF!,"AAAAAH9Oa8A=")</f>
        <v>#REF!</v>
      </c>
      <c r="GL91" t="e">
        <f>IF(#REF!,"AAAAAH9Oa8E=",0)</f>
        <v>#REF!</v>
      </c>
      <c r="GM91" t="e">
        <f>AND(#REF!,"AAAAAH9Oa8I=")</f>
        <v>#REF!</v>
      </c>
      <c r="GN91" t="e">
        <f>AND(#REF!,"AAAAAH9Oa8M=")</f>
        <v>#REF!</v>
      </c>
      <c r="GO91" t="e">
        <f>AND(#REF!,"AAAAAH9Oa8Q=")</f>
        <v>#REF!</v>
      </c>
      <c r="GP91" t="e">
        <f>AND(#REF!,"AAAAAH9Oa8U=")</f>
        <v>#REF!</v>
      </c>
      <c r="GQ91" t="e">
        <f>AND(#REF!,"AAAAAH9Oa8Y=")</f>
        <v>#REF!</v>
      </c>
      <c r="GR91" t="e">
        <f>AND(#REF!,"AAAAAH9Oa8c=")</f>
        <v>#REF!</v>
      </c>
      <c r="GS91" t="e">
        <f>AND(#REF!,"AAAAAH9Oa8g=")</f>
        <v>#REF!</v>
      </c>
      <c r="GT91" t="e">
        <f>AND(#REF!,"AAAAAH9Oa8k=")</f>
        <v>#REF!</v>
      </c>
      <c r="GU91" t="e">
        <f>AND(#REF!,"AAAAAH9Oa8o=")</f>
        <v>#REF!</v>
      </c>
      <c r="GV91" t="e">
        <f>AND(#REF!,"AAAAAH9Oa8s=")</f>
        <v>#REF!</v>
      </c>
      <c r="GW91" t="e">
        <f>AND(#REF!,"AAAAAH9Oa8w=")</f>
        <v>#REF!</v>
      </c>
      <c r="GX91" t="e">
        <f>AND(#REF!,"AAAAAH9Oa80=")</f>
        <v>#REF!</v>
      </c>
      <c r="GY91" t="e">
        <f>AND(#REF!,"AAAAAH9Oa84=")</f>
        <v>#REF!</v>
      </c>
      <c r="GZ91" t="e">
        <f>AND(#REF!,"AAAAAH9Oa88=")</f>
        <v>#REF!</v>
      </c>
      <c r="HA91" t="e">
        <f>AND(#REF!,"AAAAAH9Oa9A=")</f>
        <v>#REF!</v>
      </c>
      <c r="HB91" t="e">
        <f>AND(#REF!,"AAAAAH9Oa9E=")</f>
        <v>#REF!</v>
      </c>
      <c r="HC91" t="e">
        <f>AND(#REF!,"AAAAAH9Oa9I=")</f>
        <v>#REF!</v>
      </c>
      <c r="HD91" t="e">
        <f>AND(#REF!,"AAAAAH9Oa9M=")</f>
        <v>#REF!</v>
      </c>
      <c r="HE91" t="e">
        <f>AND(#REF!,"AAAAAH9Oa9Q=")</f>
        <v>#REF!</v>
      </c>
      <c r="HF91" t="e">
        <f>AND(#REF!,"AAAAAH9Oa9U=")</f>
        <v>#REF!</v>
      </c>
      <c r="HG91" t="e">
        <f>AND(#REF!,"AAAAAH9Oa9Y=")</f>
        <v>#REF!</v>
      </c>
      <c r="HH91" t="e">
        <f>AND(#REF!,"AAAAAH9Oa9c=")</f>
        <v>#REF!</v>
      </c>
      <c r="HI91" t="e">
        <f>AND(#REF!,"AAAAAH9Oa9g=")</f>
        <v>#REF!</v>
      </c>
      <c r="HJ91" t="e">
        <f>AND(#REF!,"AAAAAH9Oa9k=")</f>
        <v>#REF!</v>
      </c>
      <c r="HK91" t="e">
        <f>AND(#REF!,"AAAAAH9Oa9o=")</f>
        <v>#REF!</v>
      </c>
      <c r="HL91" t="e">
        <f>AND(#REF!,"AAAAAH9Oa9s=")</f>
        <v>#REF!</v>
      </c>
      <c r="HM91" t="e">
        <f>IF(#REF!,"AAAAAH9Oa9w=",0)</f>
        <v>#REF!</v>
      </c>
      <c r="HN91" t="e">
        <f>AND(#REF!,"AAAAAH9Oa90=")</f>
        <v>#REF!</v>
      </c>
      <c r="HO91" t="e">
        <f>AND(#REF!,"AAAAAH9Oa94=")</f>
        <v>#REF!</v>
      </c>
      <c r="HP91" t="e">
        <f>AND(#REF!,"AAAAAH9Oa98=")</f>
        <v>#REF!</v>
      </c>
      <c r="HQ91" t="e">
        <f>AND(#REF!,"AAAAAH9Oa+A=")</f>
        <v>#REF!</v>
      </c>
      <c r="HR91" t="e">
        <f>AND(#REF!,"AAAAAH9Oa+E=")</f>
        <v>#REF!</v>
      </c>
      <c r="HS91" t="e">
        <f>AND(#REF!,"AAAAAH9Oa+I=")</f>
        <v>#REF!</v>
      </c>
      <c r="HT91" t="e">
        <f>AND(#REF!,"AAAAAH9Oa+M=")</f>
        <v>#REF!</v>
      </c>
      <c r="HU91" t="e">
        <f>AND(#REF!,"AAAAAH9Oa+Q=")</f>
        <v>#REF!</v>
      </c>
      <c r="HV91" t="e">
        <f>AND(#REF!,"AAAAAH9Oa+U=")</f>
        <v>#REF!</v>
      </c>
      <c r="HW91" t="e">
        <f>AND(#REF!,"AAAAAH9Oa+Y=")</f>
        <v>#REF!</v>
      </c>
      <c r="HX91" t="e">
        <f>AND(#REF!,"AAAAAH9Oa+c=")</f>
        <v>#REF!</v>
      </c>
      <c r="HY91" t="e">
        <f>AND(#REF!,"AAAAAH9Oa+g=")</f>
        <v>#REF!</v>
      </c>
      <c r="HZ91" t="e">
        <f>AND(#REF!,"AAAAAH9Oa+k=")</f>
        <v>#REF!</v>
      </c>
      <c r="IA91" t="e">
        <f>AND(#REF!,"AAAAAH9Oa+o=")</f>
        <v>#REF!</v>
      </c>
      <c r="IB91" t="e">
        <f>AND(#REF!,"AAAAAH9Oa+s=")</f>
        <v>#REF!</v>
      </c>
      <c r="IC91" t="e">
        <f>AND(#REF!,"AAAAAH9Oa+w=")</f>
        <v>#REF!</v>
      </c>
      <c r="ID91" t="e">
        <f>AND(#REF!,"AAAAAH9Oa+0=")</f>
        <v>#REF!</v>
      </c>
      <c r="IE91" t="e">
        <f>AND(#REF!,"AAAAAH9Oa+4=")</f>
        <v>#REF!</v>
      </c>
      <c r="IF91" t="e">
        <f>AND(#REF!,"AAAAAH9Oa+8=")</f>
        <v>#REF!</v>
      </c>
      <c r="IG91" t="e">
        <f>AND(#REF!,"AAAAAH9Oa/A=")</f>
        <v>#REF!</v>
      </c>
      <c r="IH91" t="e">
        <f>AND(#REF!,"AAAAAH9Oa/E=")</f>
        <v>#REF!</v>
      </c>
      <c r="II91" t="e">
        <f>AND(#REF!,"AAAAAH9Oa/I=")</f>
        <v>#REF!</v>
      </c>
      <c r="IJ91" t="e">
        <f>AND(#REF!,"AAAAAH9Oa/M=")</f>
        <v>#REF!</v>
      </c>
      <c r="IK91" t="e">
        <f>AND(#REF!,"AAAAAH9Oa/Q=")</f>
        <v>#REF!</v>
      </c>
      <c r="IL91" t="e">
        <f>AND(#REF!,"AAAAAH9Oa/U=")</f>
        <v>#REF!</v>
      </c>
      <c r="IM91" t="e">
        <f>AND(#REF!,"AAAAAH9Oa/Y=")</f>
        <v>#REF!</v>
      </c>
      <c r="IN91" t="e">
        <f>IF(#REF!,"AAAAAH9Oa/c=",0)</f>
        <v>#REF!</v>
      </c>
      <c r="IO91" t="e">
        <f>AND(#REF!,"AAAAAH9Oa/g=")</f>
        <v>#REF!</v>
      </c>
      <c r="IP91" t="e">
        <f>AND(#REF!,"AAAAAH9Oa/k=")</f>
        <v>#REF!</v>
      </c>
      <c r="IQ91" t="e">
        <f>AND(#REF!,"AAAAAH9Oa/o=")</f>
        <v>#REF!</v>
      </c>
      <c r="IR91" t="e">
        <f>AND(#REF!,"AAAAAH9Oa/s=")</f>
        <v>#REF!</v>
      </c>
      <c r="IS91" t="e">
        <f>AND(#REF!,"AAAAAH9Oa/w=")</f>
        <v>#REF!</v>
      </c>
      <c r="IT91" t="e">
        <f>AND(#REF!,"AAAAAH9Oa/0=")</f>
        <v>#REF!</v>
      </c>
      <c r="IU91" t="e">
        <f>AND(#REF!,"AAAAAH9Oa/4=")</f>
        <v>#REF!</v>
      </c>
      <c r="IV91" t="e">
        <f>AND(#REF!,"AAAAAH9Oa/8=")</f>
        <v>#REF!</v>
      </c>
    </row>
    <row r="92" spans="1:256" x14ac:dyDescent="0.2">
      <c r="A92" t="e">
        <f>AND(#REF!,"AAAAADzf+gA=")</f>
        <v>#REF!</v>
      </c>
      <c r="B92" t="e">
        <f>AND(#REF!,"AAAAADzf+gE=")</f>
        <v>#REF!</v>
      </c>
      <c r="C92" t="e">
        <f>AND(#REF!,"AAAAADzf+gI=")</f>
        <v>#REF!</v>
      </c>
      <c r="D92" t="e">
        <f>AND(#REF!,"AAAAADzf+gM=")</f>
        <v>#REF!</v>
      </c>
      <c r="E92" t="e">
        <f>AND(#REF!,"AAAAADzf+gQ=")</f>
        <v>#REF!</v>
      </c>
      <c r="F92" t="e">
        <f>AND(#REF!,"AAAAADzf+gU=")</f>
        <v>#REF!</v>
      </c>
      <c r="G92" t="e">
        <f>AND(#REF!,"AAAAADzf+gY=")</f>
        <v>#REF!</v>
      </c>
      <c r="H92" t="e">
        <f>AND(#REF!,"AAAAADzf+gc=")</f>
        <v>#REF!</v>
      </c>
      <c r="I92" t="e">
        <f>AND(#REF!,"AAAAADzf+gg=")</f>
        <v>#REF!</v>
      </c>
      <c r="J92" t="e">
        <f>AND(#REF!,"AAAAADzf+gk=")</f>
        <v>#REF!</v>
      </c>
      <c r="K92" t="e">
        <f>AND(#REF!,"AAAAADzf+go=")</f>
        <v>#REF!</v>
      </c>
      <c r="L92" t="e">
        <f>AND(#REF!,"AAAAADzf+gs=")</f>
        <v>#REF!</v>
      </c>
      <c r="M92" t="e">
        <f>AND(#REF!,"AAAAADzf+gw=")</f>
        <v>#REF!</v>
      </c>
      <c r="N92" t="e">
        <f>AND(#REF!,"AAAAADzf+g0=")</f>
        <v>#REF!</v>
      </c>
      <c r="O92" t="e">
        <f>AND(#REF!,"AAAAADzf+g4=")</f>
        <v>#REF!</v>
      </c>
      <c r="P92" t="e">
        <f>AND(#REF!,"AAAAADzf+g8=")</f>
        <v>#REF!</v>
      </c>
      <c r="Q92" t="e">
        <f>AND(#REF!,"AAAAADzf+hA=")</f>
        <v>#REF!</v>
      </c>
      <c r="R92" t="e">
        <f>AND(#REF!,"AAAAADzf+hE=")</f>
        <v>#REF!</v>
      </c>
      <c r="S92" t="e">
        <f>IF(#REF!,"AAAAADzf+hI=",0)</f>
        <v>#REF!</v>
      </c>
      <c r="T92" t="e">
        <f>AND(#REF!,"AAAAADzf+hM=")</f>
        <v>#REF!</v>
      </c>
      <c r="U92" t="e">
        <f>AND(#REF!,"AAAAADzf+hQ=")</f>
        <v>#REF!</v>
      </c>
      <c r="V92" t="e">
        <f>AND(#REF!,"AAAAADzf+hU=")</f>
        <v>#REF!</v>
      </c>
      <c r="W92" t="e">
        <f>AND(#REF!,"AAAAADzf+hY=")</f>
        <v>#REF!</v>
      </c>
      <c r="X92" t="e">
        <f>AND(#REF!,"AAAAADzf+hc=")</f>
        <v>#REF!</v>
      </c>
      <c r="Y92" t="e">
        <f>AND(#REF!,"AAAAADzf+hg=")</f>
        <v>#REF!</v>
      </c>
      <c r="Z92" t="e">
        <f>AND(#REF!,"AAAAADzf+hk=")</f>
        <v>#REF!</v>
      </c>
      <c r="AA92" t="e">
        <f>AND(#REF!,"AAAAADzf+ho=")</f>
        <v>#REF!</v>
      </c>
      <c r="AB92" t="e">
        <f>AND(#REF!,"AAAAADzf+hs=")</f>
        <v>#REF!</v>
      </c>
      <c r="AC92" t="e">
        <f>AND(#REF!,"AAAAADzf+hw=")</f>
        <v>#REF!</v>
      </c>
      <c r="AD92" t="e">
        <f>AND(#REF!,"AAAAADzf+h0=")</f>
        <v>#REF!</v>
      </c>
      <c r="AE92" t="e">
        <f>AND(#REF!,"AAAAADzf+h4=")</f>
        <v>#REF!</v>
      </c>
      <c r="AF92" t="e">
        <f>AND(#REF!,"AAAAADzf+h8=")</f>
        <v>#REF!</v>
      </c>
      <c r="AG92" t="e">
        <f>AND(#REF!,"AAAAADzf+iA=")</f>
        <v>#REF!</v>
      </c>
      <c r="AH92" t="e">
        <f>AND(#REF!,"AAAAADzf+iE=")</f>
        <v>#REF!</v>
      </c>
      <c r="AI92" t="e">
        <f>AND(#REF!,"AAAAADzf+iI=")</f>
        <v>#REF!</v>
      </c>
      <c r="AJ92" t="e">
        <f>AND(#REF!,"AAAAADzf+iM=")</f>
        <v>#REF!</v>
      </c>
      <c r="AK92" t="e">
        <f>AND(#REF!,"AAAAADzf+iQ=")</f>
        <v>#REF!</v>
      </c>
      <c r="AL92" t="e">
        <f>AND(#REF!,"AAAAADzf+iU=")</f>
        <v>#REF!</v>
      </c>
      <c r="AM92" t="e">
        <f>AND(#REF!,"AAAAADzf+iY=")</f>
        <v>#REF!</v>
      </c>
      <c r="AN92" t="e">
        <f>AND(#REF!,"AAAAADzf+ic=")</f>
        <v>#REF!</v>
      </c>
      <c r="AO92" t="e">
        <f>AND(#REF!,"AAAAADzf+ig=")</f>
        <v>#REF!</v>
      </c>
      <c r="AP92" t="e">
        <f>AND(#REF!,"AAAAADzf+ik=")</f>
        <v>#REF!</v>
      </c>
      <c r="AQ92" t="e">
        <f>AND(#REF!,"AAAAADzf+io=")</f>
        <v>#REF!</v>
      </c>
      <c r="AR92" t="e">
        <f>AND(#REF!,"AAAAADzf+is=")</f>
        <v>#REF!</v>
      </c>
      <c r="AS92" t="e">
        <f>AND(#REF!,"AAAAADzf+iw=")</f>
        <v>#REF!</v>
      </c>
      <c r="AT92" t="e">
        <f>IF(#REF!,"AAAAADzf+i0=",0)</f>
        <v>#REF!</v>
      </c>
      <c r="AU92" t="e">
        <f>AND(#REF!,"AAAAADzf+i4=")</f>
        <v>#REF!</v>
      </c>
      <c r="AV92" t="e">
        <f>AND(#REF!,"AAAAADzf+i8=")</f>
        <v>#REF!</v>
      </c>
      <c r="AW92" t="e">
        <f>AND(#REF!,"AAAAADzf+jA=")</f>
        <v>#REF!</v>
      </c>
      <c r="AX92" t="e">
        <f>AND(#REF!,"AAAAADzf+jE=")</f>
        <v>#REF!</v>
      </c>
      <c r="AY92" t="e">
        <f>AND(#REF!,"AAAAADzf+jI=")</f>
        <v>#REF!</v>
      </c>
      <c r="AZ92" t="e">
        <f>AND(#REF!,"AAAAADzf+jM=")</f>
        <v>#REF!</v>
      </c>
      <c r="BA92" t="e">
        <f>AND(#REF!,"AAAAADzf+jQ=")</f>
        <v>#REF!</v>
      </c>
      <c r="BB92" t="e">
        <f>AND(#REF!,"AAAAADzf+jU=")</f>
        <v>#REF!</v>
      </c>
      <c r="BC92" t="e">
        <f>AND(#REF!,"AAAAADzf+jY=")</f>
        <v>#REF!</v>
      </c>
      <c r="BD92" t="e">
        <f>AND(#REF!,"AAAAADzf+jc=")</f>
        <v>#REF!</v>
      </c>
      <c r="BE92" t="e">
        <f>AND(#REF!,"AAAAADzf+jg=")</f>
        <v>#REF!</v>
      </c>
      <c r="BF92" t="e">
        <f>AND(#REF!,"AAAAADzf+jk=")</f>
        <v>#REF!</v>
      </c>
      <c r="BG92" t="e">
        <f>AND(#REF!,"AAAAADzf+jo=")</f>
        <v>#REF!</v>
      </c>
      <c r="BH92" t="e">
        <f>AND(#REF!,"AAAAADzf+js=")</f>
        <v>#REF!</v>
      </c>
      <c r="BI92" t="e">
        <f>AND(#REF!,"AAAAADzf+jw=")</f>
        <v>#REF!</v>
      </c>
      <c r="BJ92" t="e">
        <f>AND(#REF!,"AAAAADzf+j0=")</f>
        <v>#REF!</v>
      </c>
      <c r="BK92" t="e">
        <f>AND(#REF!,"AAAAADzf+j4=")</f>
        <v>#REF!</v>
      </c>
      <c r="BL92" t="e">
        <f>AND(#REF!,"AAAAADzf+j8=")</f>
        <v>#REF!</v>
      </c>
      <c r="BM92" t="e">
        <f>AND(#REF!,"AAAAADzf+kA=")</f>
        <v>#REF!</v>
      </c>
      <c r="BN92" t="e">
        <f>AND(#REF!,"AAAAADzf+kE=")</f>
        <v>#REF!</v>
      </c>
      <c r="BO92" t="e">
        <f>AND(#REF!,"AAAAADzf+kI=")</f>
        <v>#REF!</v>
      </c>
      <c r="BP92" t="e">
        <f>AND(#REF!,"AAAAADzf+kM=")</f>
        <v>#REF!</v>
      </c>
      <c r="BQ92" t="e">
        <f>AND(#REF!,"AAAAADzf+kQ=")</f>
        <v>#REF!</v>
      </c>
      <c r="BR92" t="e">
        <f>AND(#REF!,"AAAAADzf+kU=")</f>
        <v>#REF!</v>
      </c>
      <c r="BS92" t="e">
        <f>AND(#REF!,"AAAAADzf+kY=")</f>
        <v>#REF!</v>
      </c>
      <c r="BT92" t="e">
        <f>AND(#REF!,"AAAAADzf+kc=")</f>
        <v>#REF!</v>
      </c>
      <c r="BU92" t="e">
        <f>IF(#REF!,"AAAAADzf+kg=",0)</f>
        <v>#REF!</v>
      </c>
      <c r="BV92" t="e">
        <f>AND(#REF!,"AAAAADzf+kk=")</f>
        <v>#REF!</v>
      </c>
      <c r="BW92" t="e">
        <f>AND(#REF!,"AAAAADzf+ko=")</f>
        <v>#REF!</v>
      </c>
      <c r="BX92" t="e">
        <f>AND(#REF!,"AAAAADzf+ks=")</f>
        <v>#REF!</v>
      </c>
      <c r="BY92" t="e">
        <f>AND(#REF!,"AAAAADzf+kw=")</f>
        <v>#REF!</v>
      </c>
      <c r="BZ92" t="e">
        <f>AND(#REF!,"AAAAADzf+k0=")</f>
        <v>#REF!</v>
      </c>
      <c r="CA92" t="e">
        <f>AND(#REF!,"AAAAADzf+k4=")</f>
        <v>#REF!</v>
      </c>
      <c r="CB92" t="e">
        <f>AND(#REF!,"AAAAADzf+k8=")</f>
        <v>#REF!</v>
      </c>
      <c r="CC92" t="e">
        <f>AND(#REF!,"AAAAADzf+lA=")</f>
        <v>#REF!</v>
      </c>
      <c r="CD92" t="e">
        <f>AND(#REF!,"AAAAADzf+lE=")</f>
        <v>#REF!</v>
      </c>
      <c r="CE92" t="e">
        <f>AND(#REF!,"AAAAADzf+lI=")</f>
        <v>#REF!</v>
      </c>
      <c r="CF92" t="e">
        <f>AND(#REF!,"AAAAADzf+lM=")</f>
        <v>#REF!</v>
      </c>
      <c r="CG92" t="e">
        <f>AND(#REF!,"AAAAADzf+lQ=")</f>
        <v>#REF!</v>
      </c>
      <c r="CH92" t="e">
        <f>AND(#REF!,"AAAAADzf+lU=")</f>
        <v>#REF!</v>
      </c>
      <c r="CI92" t="e">
        <f>AND(#REF!,"AAAAADzf+lY=")</f>
        <v>#REF!</v>
      </c>
      <c r="CJ92" t="e">
        <f>AND(#REF!,"AAAAADzf+lc=")</f>
        <v>#REF!</v>
      </c>
      <c r="CK92" t="e">
        <f>AND(#REF!,"AAAAADzf+lg=")</f>
        <v>#REF!</v>
      </c>
      <c r="CL92" t="e">
        <f>AND(#REF!,"AAAAADzf+lk=")</f>
        <v>#REF!</v>
      </c>
      <c r="CM92" t="e">
        <f>AND(#REF!,"AAAAADzf+lo=")</f>
        <v>#REF!</v>
      </c>
      <c r="CN92" t="e">
        <f>AND(#REF!,"AAAAADzf+ls=")</f>
        <v>#REF!</v>
      </c>
      <c r="CO92" t="e">
        <f>AND(#REF!,"AAAAADzf+lw=")</f>
        <v>#REF!</v>
      </c>
      <c r="CP92" t="e">
        <f>AND(#REF!,"AAAAADzf+l0=")</f>
        <v>#REF!</v>
      </c>
      <c r="CQ92" t="e">
        <f>AND(#REF!,"AAAAADzf+l4=")</f>
        <v>#REF!</v>
      </c>
      <c r="CR92" t="e">
        <f>AND(#REF!,"AAAAADzf+l8=")</f>
        <v>#REF!</v>
      </c>
      <c r="CS92" t="e">
        <f>AND(#REF!,"AAAAADzf+mA=")</f>
        <v>#REF!</v>
      </c>
      <c r="CT92" t="e">
        <f>AND(#REF!,"AAAAADzf+mE=")</f>
        <v>#REF!</v>
      </c>
      <c r="CU92" t="e">
        <f>AND(#REF!,"AAAAADzf+mI=")</f>
        <v>#REF!</v>
      </c>
      <c r="CV92" t="e">
        <f>IF(#REF!,"AAAAADzf+mM=",0)</f>
        <v>#REF!</v>
      </c>
      <c r="CW92" t="e">
        <f>AND(#REF!,"AAAAADzf+mQ=")</f>
        <v>#REF!</v>
      </c>
      <c r="CX92" t="e">
        <f>AND(#REF!,"AAAAADzf+mU=")</f>
        <v>#REF!</v>
      </c>
      <c r="CY92" t="e">
        <f>AND(#REF!,"AAAAADzf+mY=")</f>
        <v>#REF!</v>
      </c>
      <c r="CZ92" t="e">
        <f>AND(#REF!,"AAAAADzf+mc=")</f>
        <v>#REF!</v>
      </c>
      <c r="DA92" t="e">
        <f>AND(#REF!,"AAAAADzf+mg=")</f>
        <v>#REF!</v>
      </c>
      <c r="DB92" t="e">
        <f>AND(#REF!,"AAAAADzf+mk=")</f>
        <v>#REF!</v>
      </c>
      <c r="DC92" t="e">
        <f>AND(#REF!,"AAAAADzf+mo=")</f>
        <v>#REF!</v>
      </c>
      <c r="DD92" t="e">
        <f>AND(#REF!,"AAAAADzf+ms=")</f>
        <v>#REF!</v>
      </c>
      <c r="DE92" t="e">
        <f>AND(#REF!,"AAAAADzf+mw=")</f>
        <v>#REF!</v>
      </c>
      <c r="DF92" t="e">
        <f>AND(#REF!,"AAAAADzf+m0=")</f>
        <v>#REF!</v>
      </c>
      <c r="DG92" t="e">
        <f>AND(#REF!,"AAAAADzf+m4=")</f>
        <v>#REF!</v>
      </c>
      <c r="DH92" t="e">
        <f>AND(#REF!,"AAAAADzf+m8=")</f>
        <v>#REF!</v>
      </c>
      <c r="DI92" t="e">
        <f>AND(#REF!,"AAAAADzf+nA=")</f>
        <v>#REF!</v>
      </c>
      <c r="DJ92" t="e">
        <f>AND(#REF!,"AAAAADzf+nE=")</f>
        <v>#REF!</v>
      </c>
      <c r="DK92" t="e">
        <f>AND(#REF!,"AAAAADzf+nI=")</f>
        <v>#REF!</v>
      </c>
      <c r="DL92" t="e">
        <f>AND(#REF!,"AAAAADzf+nM=")</f>
        <v>#REF!</v>
      </c>
      <c r="DM92" t="e">
        <f>AND(#REF!,"AAAAADzf+nQ=")</f>
        <v>#REF!</v>
      </c>
      <c r="DN92" t="e">
        <f>AND(#REF!,"AAAAADzf+nU=")</f>
        <v>#REF!</v>
      </c>
      <c r="DO92" t="e">
        <f>AND(#REF!,"AAAAADzf+nY=")</f>
        <v>#REF!</v>
      </c>
      <c r="DP92" t="e">
        <f>AND(#REF!,"AAAAADzf+nc=")</f>
        <v>#REF!</v>
      </c>
      <c r="DQ92" t="e">
        <f>AND(#REF!,"AAAAADzf+ng=")</f>
        <v>#REF!</v>
      </c>
      <c r="DR92" t="e">
        <f>AND(#REF!,"AAAAADzf+nk=")</f>
        <v>#REF!</v>
      </c>
      <c r="DS92" t="e">
        <f>AND(#REF!,"AAAAADzf+no=")</f>
        <v>#REF!</v>
      </c>
      <c r="DT92" t="e">
        <f>AND(#REF!,"AAAAADzf+ns=")</f>
        <v>#REF!</v>
      </c>
      <c r="DU92" t="e">
        <f>AND(#REF!,"AAAAADzf+nw=")</f>
        <v>#REF!</v>
      </c>
      <c r="DV92" t="e">
        <f>AND(#REF!,"AAAAADzf+n0=")</f>
        <v>#REF!</v>
      </c>
      <c r="DW92" t="e">
        <f>IF(#REF!,"AAAAADzf+n4=",0)</f>
        <v>#REF!</v>
      </c>
      <c r="DX92" t="e">
        <f>AND(#REF!,"AAAAADzf+n8=")</f>
        <v>#REF!</v>
      </c>
      <c r="DY92" t="e">
        <f>AND(#REF!,"AAAAADzf+oA=")</f>
        <v>#REF!</v>
      </c>
      <c r="DZ92" t="e">
        <f>AND(#REF!,"AAAAADzf+oE=")</f>
        <v>#REF!</v>
      </c>
      <c r="EA92" t="e">
        <f>AND(#REF!,"AAAAADzf+oI=")</f>
        <v>#REF!</v>
      </c>
      <c r="EB92" t="e">
        <f>AND(#REF!,"AAAAADzf+oM=")</f>
        <v>#REF!</v>
      </c>
      <c r="EC92" t="e">
        <f>AND(#REF!,"AAAAADzf+oQ=")</f>
        <v>#REF!</v>
      </c>
      <c r="ED92" t="e">
        <f>AND(#REF!,"AAAAADzf+oU=")</f>
        <v>#REF!</v>
      </c>
      <c r="EE92" t="e">
        <f>AND(#REF!,"AAAAADzf+oY=")</f>
        <v>#REF!</v>
      </c>
      <c r="EF92" t="e">
        <f>AND(#REF!,"AAAAADzf+oc=")</f>
        <v>#REF!</v>
      </c>
      <c r="EG92" t="e">
        <f>AND(#REF!,"AAAAADzf+og=")</f>
        <v>#REF!</v>
      </c>
      <c r="EH92" t="e">
        <f>AND(#REF!,"AAAAADzf+ok=")</f>
        <v>#REF!</v>
      </c>
      <c r="EI92" t="e">
        <f>AND(#REF!,"AAAAADzf+oo=")</f>
        <v>#REF!</v>
      </c>
      <c r="EJ92" t="e">
        <f>AND(#REF!,"AAAAADzf+os=")</f>
        <v>#REF!</v>
      </c>
      <c r="EK92" t="e">
        <f>AND(#REF!,"AAAAADzf+ow=")</f>
        <v>#REF!</v>
      </c>
      <c r="EL92" t="e">
        <f>AND(#REF!,"AAAAADzf+o0=")</f>
        <v>#REF!</v>
      </c>
      <c r="EM92" t="e">
        <f>AND(#REF!,"AAAAADzf+o4=")</f>
        <v>#REF!</v>
      </c>
      <c r="EN92" t="e">
        <f>AND(#REF!,"AAAAADzf+o8=")</f>
        <v>#REF!</v>
      </c>
      <c r="EO92" t="e">
        <f>AND(#REF!,"AAAAADzf+pA=")</f>
        <v>#REF!</v>
      </c>
      <c r="EP92" t="e">
        <f>AND(#REF!,"AAAAADzf+pE=")</f>
        <v>#REF!</v>
      </c>
      <c r="EQ92" t="e">
        <f>AND(#REF!,"AAAAADzf+pI=")</f>
        <v>#REF!</v>
      </c>
      <c r="ER92" t="e">
        <f>AND(#REF!,"AAAAADzf+pM=")</f>
        <v>#REF!</v>
      </c>
      <c r="ES92" t="e">
        <f>AND(#REF!,"AAAAADzf+pQ=")</f>
        <v>#REF!</v>
      </c>
      <c r="ET92" t="e">
        <f>AND(#REF!,"AAAAADzf+pU=")</f>
        <v>#REF!</v>
      </c>
      <c r="EU92" t="e">
        <f>AND(#REF!,"AAAAADzf+pY=")</f>
        <v>#REF!</v>
      </c>
      <c r="EV92" t="e">
        <f>AND(#REF!,"AAAAADzf+pc=")</f>
        <v>#REF!</v>
      </c>
      <c r="EW92" t="e">
        <f>AND(#REF!,"AAAAADzf+pg=")</f>
        <v>#REF!</v>
      </c>
      <c r="EX92" t="e">
        <f>IF(#REF!,"AAAAADzf+pk=",0)</f>
        <v>#REF!</v>
      </c>
      <c r="EY92" t="e">
        <f>AND(#REF!,"AAAAADzf+po=")</f>
        <v>#REF!</v>
      </c>
      <c r="EZ92" t="e">
        <f>AND(#REF!,"AAAAADzf+ps=")</f>
        <v>#REF!</v>
      </c>
      <c r="FA92" t="e">
        <f>AND(#REF!,"AAAAADzf+pw=")</f>
        <v>#REF!</v>
      </c>
      <c r="FB92" t="e">
        <f>AND(#REF!,"AAAAADzf+p0=")</f>
        <v>#REF!</v>
      </c>
      <c r="FC92" t="e">
        <f>AND(#REF!,"AAAAADzf+p4=")</f>
        <v>#REF!</v>
      </c>
      <c r="FD92" t="e">
        <f>AND(#REF!,"AAAAADzf+p8=")</f>
        <v>#REF!</v>
      </c>
      <c r="FE92" t="e">
        <f>AND(#REF!,"AAAAADzf+qA=")</f>
        <v>#REF!</v>
      </c>
      <c r="FF92" t="e">
        <f>AND(#REF!,"AAAAADzf+qE=")</f>
        <v>#REF!</v>
      </c>
      <c r="FG92" t="e">
        <f>AND(#REF!,"AAAAADzf+qI=")</f>
        <v>#REF!</v>
      </c>
      <c r="FH92" t="e">
        <f>AND(#REF!,"AAAAADzf+qM=")</f>
        <v>#REF!</v>
      </c>
      <c r="FI92" t="e">
        <f>AND(#REF!,"AAAAADzf+qQ=")</f>
        <v>#REF!</v>
      </c>
      <c r="FJ92" t="e">
        <f>AND(#REF!,"AAAAADzf+qU=")</f>
        <v>#REF!</v>
      </c>
      <c r="FK92" t="e">
        <f>AND(#REF!,"AAAAADzf+qY=")</f>
        <v>#REF!</v>
      </c>
      <c r="FL92" t="e">
        <f>AND(#REF!,"AAAAADzf+qc=")</f>
        <v>#REF!</v>
      </c>
      <c r="FM92" t="e">
        <f>AND(#REF!,"AAAAADzf+qg=")</f>
        <v>#REF!</v>
      </c>
      <c r="FN92" t="e">
        <f>AND(#REF!,"AAAAADzf+qk=")</f>
        <v>#REF!</v>
      </c>
      <c r="FO92" t="e">
        <f>AND(#REF!,"AAAAADzf+qo=")</f>
        <v>#REF!</v>
      </c>
      <c r="FP92" t="e">
        <f>AND(#REF!,"AAAAADzf+qs=")</f>
        <v>#REF!</v>
      </c>
      <c r="FQ92" t="e">
        <f>AND(#REF!,"AAAAADzf+qw=")</f>
        <v>#REF!</v>
      </c>
      <c r="FR92" t="e">
        <f>AND(#REF!,"AAAAADzf+q0=")</f>
        <v>#REF!</v>
      </c>
      <c r="FS92" t="e">
        <f>AND(#REF!,"AAAAADzf+q4=")</f>
        <v>#REF!</v>
      </c>
      <c r="FT92" t="e">
        <f>AND(#REF!,"AAAAADzf+q8=")</f>
        <v>#REF!</v>
      </c>
      <c r="FU92" t="e">
        <f>AND(#REF!,"AAAAADzf+rA=")</f>
        <v>#REF!</v>
      </c>
      <c r="FV92" t="e">
        <f>AND(#REF!,"AAAAADzf+rE=")</f>
        <v>#REF!</v>
      </c>
      <c r="FW92" t="e">
        <f>AND(#REF!,"AAAAADzf+rI=")</f>
        <v>#REF!</v>
      </c>
      <c r="FX92" t="e">
        <f>AND(#REF!,"AAAAADzf+rM=")</f>
        <v>#REF!</v>
      </c>
      <c r="FY92" t="e">
        <f>IF(#REF!,"AAAAADzf+rQ=",0)</f>
        <v>#REF!</v>
      </c>
      <c r="FZ92" t="e">
        <f>AND(#REF!,"AAAAADzf+rU=")</f>
        <v>#REF!</v>
      </c>
      <c r="GA92" t="e">
        <f>AND(#REF!,"AAAAADzf+rY=")</f>
        <v>#REF!</v>
      </c>
      <c r="GB92" t="e">
        <f>AND(#REF!,"AAAAADzf+rc=")</f>
        <v>#REF!</v>
      </c>
      <c r="GC92" t="e">
        <f>AND(#REF!,"AAAAADzf+rg=")</f>
        <v>#REF!</v>
      </c>
      <c r="GD92" t="e">
        <f>AND(#REF!,"AAAAADzf+rk=")</f>
        <v>#REF!</v>
      </c>
      <c r="GE92" t="e">
        <f>AND(#REF!,"AAAAADzf+ro=")</f>
        <v>#REF!</v>
      </c>
      <c r="GF92" t="e">
        <f>AND(#REF!,"AAAAADzf+rs=")</f>
        <v>#REF!</v>
      </c>
      <c r="GG92" t="e">
        <f>AND(#REF!,"AAAAADzf+rw=")</f>
        <v>#REF!</v>
      </c>
      <c r="GH92" t="e">
        <f>AND(#REF!,"AAAAADzf+r0=")</f>
        <v>#REF!</v>
      </c>
      <c r="GI92" t="e">
        <f>AND(#REF!,"AAAAADzf+r4=")</f>
        <v>#REF!</v>
      </c>
      <c r="GJ92" t="e">
        <f>AND(#REF!,"AAAAADzf+r8=")</f>
        <v>#REF!</v>
      </c>
      <c r="GK92" t="e">
        <f>AND(#REF!,"AAAAADzf+sA=")</f>
        <v>#REF!</v>
      </c>
      <c r="GL92" t="e">
        <f>AND(#REF!,"AAAAADzf+sE=")</f>
        <v>#REF!</v>
      </c>
      <c r="GM92" t="e">
        <f>AND(#REF!,"AAAAADzf+sI=")</f>
        <v>#REF!</v>
      </c>
      <c r="GN92" t="e">
        <f>AND(#REF!,"AAAAADzf+sM=")</f>
        <v>#REF!</v>
      </c>
      <c r="GO92" t="e">
        <f>AND(#REF!,"AAAAADzf+sQ=")</f>
        <v>#REF!</v>
      </c>
      <c r="GP92" t="e">
        <f>AND(#REF!,"AAAAADzf+sU=")</f>
        <v>#REF!</v>
      </c>
      <c r="GQ92" t="e">
        <f>AND(#REF!,"AAAAADzf+sY=")</f>
        <v>#REF!</v>
      </c>
      <c r="GR92" t="e">
        <f>AND(#REF!,"AAAAADzf+sc=")</f>
        <v>#REF!</v>
      </c>
      <c r="GS92" t="e">
        <f>AND(#REF!,"AAAAADzf+sg=")</f>
        <v>#REF!</v>
      </c>
      <c r="GT92" t="e">
        <f>AND(#REF!,"AAAAADzf+sk=")</f>
        <v>#REF!</v>
      </c>
      <c r="GU92" t="e">
        <f>AND(#REF!,"AAAAADzf+so=")</f>
        <v>#REF!</v>
      </c>
      <c r="GV92" t="e">
        <f>AND(#REF!,"AAAAADzf+ss=")</f>
        <v>#REF!</v>
      </c>
      <c r="GW92" t="e">
        <f>AND(#REF!,"AAAAADzf+sw=")</f>
        <v>#REF!</v>
      </c>
      <c r="GX92" t="e">
        <f>AND(#REF!,"AAAAADzf+s0=")</f>
        <v>#REF!</v>
      </c>
      <c r="GY92" t="e">
        <f>AND(#REF!,"AAAAADzf+s4=")</f>
        <v>#REF!</v>
      </c>
      <c r="GZ92" t="e">
        <f>IF(#REF!,"AAAAADzf+s8=",0)</f>
        <v>#REF!</v>
      </c>
      <c r="HA92" t="e">
        <f>AND(#REF!,"AAAAADzf+tA=")</f>
        <v>#REF!</v>
      </c>
      <c r="HB92" t="e">
        <f>AND(#REF!,"AAAAADzf+tE=")</f>
        <v>#REF!</v>
      </c>
      <c r="HC92" t="e">
        <f>AND(#REF!,"AAAAADzf+tI=")</f>
        <v>#REF!</v>
      </c>
      <c r="HD92" t="e">
        <f>AND(#REF!,"AAAAADzf+tM=")</f>
        <v>#REF!</v>
      </c>
      <c r="HE92" t="e">
        <f>AND(#REF!,"AAAAADzf+tQ=")</f>
        <v>#REF!</v>
      </c>
      <c r="HF92" t="e">
        <f>AND(#REF!,"AAAAADzf+tU=")</f>
        <v>#REF!</v>
      </c>
      <c r="HG92" t="e">
        <f>AND(#REF!,"AAAAADzf+tY=")</f>
        <v>#REF!</v>
      </c>
      <c r="HH92" t="e">
        <f>AND(#REF!,"AAAAADzf+tc=")</f>
        <v>#REF!</v>
      </c>
      <c r="HI92" t="e">
        <f>AND(#REF!,"AAAAADzf+tg=")</f>
        <v>#REF!</v>
      </c>
      <c r="HJ92" t="e">
        <f>AND(#REF!,"AAAAADzf+tk=")</f>
        <v>#REF!</v>
      </c>
      <c r="HK92" t="e">
        <f>AND(#REF!,"AAAAADzf+to=")</f>
        <v>#REF!</v>
      </c>
      <c r="HL92" t="e">
        <f>AND(#REF!,"AAAAADzf+ts=")</f>
        <v>#REF!</v>
      </c>
      <c r="HM92" t="e">
        <f>AND(#REF!,"AAAAADzf+tw=")</f>
        <v>#REF!</v>
      </c>
      <c r="HN92" t="e">
        <f>AND(#REF!,"AAAAADzf+t0=")</f>
        <v>#REF!</v>
      </c>
      <c r="HO92" t="e">
        <f>AND(#REF!,"AAAAADzf+t4=")</f>
        <v>#REF!</v>
      </c>
      <c r="HP92" t="e">
        <f>AND(#REF!,"AAAAADzf+t8=")</f>
        <v>#REF!</v>
      </c>
      <c r="HQ92" t="e">
        <f>AND(#REF!,"AAAAADzf+uA=")</f>
        <v>#REF!</v>
      </c>
      <c r="HR92" t="e">
        <f>AND(#REF!,"AAAAADzf+uE=")</f>
        <v>#REF!</v>
      </c>
      <c r="HS92" t="e">
        <f>AND(#REF!,"AAAAADzf+uI=")</f>
        <v>#REF!</v>
      </c>
      <c r="HT92" t="e">
        <f>AND(#REF!,"AAAAADzf+uM=")</f>
        <v>#REF!</v>
      </c>
      <c r="HU92" t="e">
        <f>AND(#REF!,"AAAAADzf+uQ=")</f>
        <v>#REF!</v>
      </c>
      <c r="HV92" t="e">
        <f>AND(#REF!,"AAAAADzf+uU=")</f>
        <v>#REF!</v>
      </c>
      <c r="HW92" t="e">
        <f>AND(#REF!,"AAAAADzf+uY=")</f>
        <v>#REF!</v>
      </c>
      <c r="HX92" t="e">
        <f>AND(#REF!,"AAAAADzf+uc=")</f>
        <v>#REF!</v>
      </c>
      <c r="HY92" t="e">
        <f>AND(#REF!,"AAAAADzf+ug=")</f>
        <v>#REF!</v>
      </c>
      <c r="HZ92" t="e">
        <f>AND(#REF!,"AAAAADzf+uk=")</f>
        <v>#REF!</v>
      </c>
      <c r="IA92" t="e">
        <f>IF(#REF!,"AAAAADzf+uo=",0)</f>
        <v>#REF!</v>
      </c>
      <c r="IB92" t="e">
        <f>AND(#REF!,"AAAAADzf+us=")</f>
        <v>#REF!</v>
      </c>
      <c r="IC92" t="e">
        <f>AND(#REF!,"AAAAADzf+uw=")</f>
        <v>#REF!</v>
      </c>
      <c r="ID92" t="e">
        <f>AND(#REF!,"AAAAADzf+u0=")</f>
        <v>#REF!</v>
      </c>
      <c r="IE92" t="e">
        <f>AND(#REF!,"AAAAADzf+u4=")</f>
        <v>#REF!</v>
      </c>
      <c r="IF92" t="e">
        <f>AND(#REF!,"AAAAADzf+u8=")</f>
        <v>#REF!</v>
      </c>
      <c r="IG92" t="e">
        <f>AND(#REF!,"AAAAADzf+vA=")</f>
        <v>#REF!</v>
      </c>
      <c r="IH92" t="e">
        <f>AND(#REF!,"AAAAADzf+vE=")</f>
        <v>#REF!</v>
      </c>
      <c r="II92" t="e">
        <f>AND(#REF!,"AAAAADzf+vI=")</f>
        <v>#REF!</v>
      </c>
      <c r="IJ92" t="e">
        <f>AND(#REF!,"AAAAADzf+vM=")</f>
        <v>#REF!</v>
      </c>
      <c r="IK92" t="e">
        <f>AND(#REF!,"AAAAADzf+vQ=")</f>
        <v>#REF!</v>
      </c>
      <c r="IL92" t="e">
        <f>AND(#REF!,"AAAAADzf+vU=")</f>
        <v>#REF!</v>
      </c>
      <c r="IM92" t="e">
        <f>AND(#REF!,"AAAAADzf+vY=")</f>
        <v>#REF!</v>
      </c>
      <c r="IN92" t="e">
        <f>AND(#REF!,"AAAAADzf+vc=")</f>
        <v>#REF!</v>
      </c>
      <c r="IO92" t="e">
        <f>AND(#REF!,"AAAAADzf+vg=")</f>
        <v>#REF!</v>
      </c>
      <c r="IP92" t="e">
        <f>AND(#REF!,"AAAAADzf+vk=")</f>
        <v>#REF!</v>
      </c>
      <c r="IQ92" t="e">
        <f>AND(#REF!,"AAAAADzf+vo=")</f>
        <v>#REF!</v>
      </c>
      <c r="IR92" t="e">
        <f>AND(#REF!,"AAAAADzf+vs=")</f>
        <v>#REF!</v>
      </c>
      <c r="IS92" t="e">
        <f>AND(#REF!,"AAAAADzf+vw=")</f>
        <v>#REF!</v>
      </c>
      <c r="IT92" t="e">
        <f>AND(#REF!,"AAAAADzf+v0=")</f>
        <v>#REF!</v>
      </c>
      <c r="IU92" t="e">
        <f>AND(#REF!,"AAAAADzf+v4=")</f>
        <v>#REF!</v>
      </c>
      <c r="IV92" t="e">
        <f>AND(#REF!,"AAAAADzf+v8=")</f>
        <v>#REF!</v>
      </c>
    </row>
    <row r="93" spans="1:256" x14ac:dyDescent="0.2">
      <c r="A93" t="e">
        <f>AND(#REF!,"AAAAAHutzwA=")</f>
        <v>#REF!</v>
      </c>
      <c r="B93" t="e">
        <f>AND(#REF!,"AAAAAHutzwE=")</f>
        <v>#REF!</v>
      </c>
      <c r="C93" t="e">
        <f>AND(#REF!,"AAAAAHutzwI=")</f>
        <v>#REF!</v>
      </c>
      <c r="D93" t="e">
        <f>AND(#REF!,"AAAAAHutzwM=")</f>
        <v>#REF!</v>
      </c>
      <c r="E93" t="e">
        <f>AND(#REF!,"AAAAAHutzwQ=")</f>
        <v>#REF!</v>
      </c>
      <c r="F93" t="e">
        <f>IF(#REF!,"AAAAAHutzwU=",0)</f>
        <v>#REF!</v>
      </c>
      <c r="G93" t="e">
        <f>AND(#REF!,"AAAAAHutzwY=")</f>
        <v>#REF!</v>
      </c>
      <c r="H93" t="e">
        <f>AND(#REF!,"AAAAAHutzwc=")</f>
        <v>#REF!</v>
      </c>
      <c r="I93" t="e">
        <f>AND(#REF!,"AAAAAHutzwg=")</f>
        <v>#REF!</v>
      </c>
      <c r="J93" t="e">
        <f>AND(#REF!,"AAAAAHutzwk=")</f>
        <v>#REF!</v>
      </c>
      <c r="K93" t="e">
        <f>AND(#REF!,"AAAAAHutzwo=")</f>
        <v>#REF!</v>
      </c>
      <c r="L93" t="e">
        <f>AND(#REF!,"AAAAAHutzws=")</f>
        <v>#REF!</v>
      </c>
      <c r="M93" t="e">
        <f>AND(#REF!,"AAAAAHutzww=")</f>
        <v>#REF!</v>
      </c>
      <c r="N93" t="e">
        <f>AND(#REF!,"AAAAAHutzw0=")</f>
        <v>#REF!</v>
      </c>
      <c r="O93" t="e">
        <f>AND(#REF!,"AAAAAHutzw4=")</f>
        <v>#REF!</v>
      </c>
      <c r="P93" t="e">
        <f>AND(#REF!,"AAAAAHutzw8=")</f>
        <v>#REF!</v>
      </c>
      <c r="Q93" t="e">
        <f>AND(#REF!,"AAAAAHutzxA=")</f>
        <v>#REF!</v>
      </c>
      <c r="R93" t="e">
        <f>AND(#REF!,"AAAAAHutzxE=")</f>
        <v>#REF!</v>
      </c>
      <c r="S93" t="e">
        <f>AND(#REF!,"AAAAAHutzxI=")</f>
        <v>#REF!</v>
      </c>
      <c r="T93" t="e">
        <f>AND(#REF!,"AAAAAHutzxM=")</f>
        <v>#REF!</v>
      </c>
      <c r="U93" t="e">
        <f>AND(#REF!,"AAAAAHutzxQ=")</f>
        <v>#REF!</v>
      </c>
      <c r="V93" t="e">
        <f>AND(#REF!,"AAAAAHutzxU=")</f>
        <v>#REF!</v>
      </c>
      <c r="W93" t="e">
        <f>AND(#REF!,"AAAAAHutzxY=")</f>
        <v>#REF!</v>
      </c>
      <c r="X93" t="e">
        <f>AND(#REF!,"AAAAAHutzxc=")</f>
        <v>#REF!</v>
      </c>
      <c r="Y93" t="e">
        <f>AND(#REF!,"AAAAAHutzxg=")</f>
        <v>#REF!</v>
      </c>
      <c r="Z93" t="e">
        <f>AND(#REF!,"AAAAAHutzxk=")</f>
        <v>#REF!</v>
      </c>
      <c r="AA93" t="e">
        <f>AND(#REF!,"AAAAAHutzxo=")</f>
        <v>#REF!</v>
      </c>
      <c r="AB93" t="e">
        <f>AND(#REF!,"AAAAAHutzxs=")</f>
        <v>#REF!</v>
      </c>
      <c r="AC93" t="e">
        <f>AND(#REF!,"AAAAAHutzxw=")</f>
        <v>#REF!</v>
      </c>
      <c r="AD93" t="e">
        <f>AND(#REF!,"AAAAAHutzx0=")</f>
        <v>#REF!</v>
      </c>
      <c r="AE93" t="e">
        <f>AND(#REF!,"AAAAAHutzx4=")</f>
        <v>#REF!</v>
      </c>
      <c r="AF93" t="e">
        <f>AND(#REF!,"AAAAAHutzx8=")</f>
        <v>#REF!</v>
      </c>
      <c r="AG93" t="e">
        <f>IF(#REF!,"AAAAAHutzyA=",0)</f>
        <v>#REF!</v>
      </c>
      <c r="AH93" t="e">
        <f>AND(#REF!,"AAAAAHutzyE=")</f>
        <v>#REF!</v>
      </c>
      <c r="AI93" t="e">
        <f>AND(#REF!,"AAAAAHutzyI=")</f>
        <v>#REF!</v>
      </c>
      <c r="AJ93" t="e">
        <f>AND(#REF!,"AAAAAHutzyM=")</f>
        <v>#REF!</v>
      </c>
      <c r="AK93" t="e">
        <f>AND(#REF!,"AAAAAHutzyQ=")</f>
        <v>#REF!</v>
      </c>
      <c r="AL93" t="e">
        <f>AND(#REF!,"AAAAAHutzyU=")</f>
        <v>#REF!</v>
      </c>
      <c r="AM93" t="e">
        <f>AND(#REF!,"AAAAAHutzyY=")</f>
        <v>#REF!</v>
      </c>
      <c r="AN93" t="e">
        <f>AND(#REF!,"AAAAAHutzyc=")</f>
        <v>#REF!</v>
      </c>
      <c r="AO93" t="e">
        <f>AND(#REF!,"AAAAAHutzyg=")</f>
        <v>#REF!</v>
      </c>
      <c r="AP93" t="e">
        <f>AND(#REF!,"AAAAAHutzyk=")</f>
        <v>#REF!</v>
      </c>
      <c r="AQ93" t="e">
        <f>AND(#REF!,"AAAAAHutzyo=")</f>
        <v>#REF!</v>
      </c>
      <c r="AR93" t="e">
        <f>AND(#REF!,"AAAAAHutzys=")</f>
        <v>#REF!</v>
      </c>
      <c r="AS93" t="e">
        <f>AND(#REF!,"AAAAAHutzyw=")</f>
        <v>#REF!</v>
      </c>
      <c r="AT93" t="e">
        <f>AND(#REF!,"AAAAAHutzy0=")</f>
        <v>#REF!</v>
      </c>
      <c r="AU93" t="e">
        <f>AND(#REF!,"AAAAAHutzy4=")</f>
        <v>#REF!</v>
      </c>
      <c r="AV93" t="e">
        <f>AND(#REF!,"AAAAAHutzy8=")</f>
        <v>#REF!</v>
      </c>
      <c r="AW93" t="e">
        <f>AND(#REF!,"AAAAAHutzzA=")</f>
        <v>#REF!</v>
      </c>
      <c r="AX93" t="e">
        <f>AND(#REF!,"AAAAAHutzzE=")</f>
        <v>#REF!</v>
      </c>
      <c r="AY93" t="e">
        <f>AND(#REF!,"AAAAAHutzzI=")</f>
        <v>#REF!</v>
      </c>
      <c r="AZ93" t="e">
        <f>AND(#REF!,"AAAAAHutzzM=")</f>
        <v>#REF!</v>
      </c>
      <c r="BA93" t="e">
        <f>AND(#REF!,"AAAAAHutzzQ=")</f>
        <v>#REF!</v>
      </c>
      <c r="BB93" t="e">
        <f>AND(#REF!,"AAAAAHutzzU=")</f>
        <v>#REF!</v>
      </c>
      <c r="BC93" t="e">
        <f>AND(#REF!,"AAAAAHutzzY=")</f>
        <v>#REF!</v>
      </c>
      <c r="BD93" t="e">
        <f>AND(#REF!,"AAAAAHutzzc=")</f>
        <v>#REF!</v>
      </c>
      <c r="BE93" t="e">
        <f>AND(#REF!,"AAAAAHutzzg=")</f>
        <v>#REF!</v>
      </c>
      <c r="BF93" t="e">
        <f>AND(#REF!,"AAAAAHutzzk=")</f>
        <v>#REF!</v>
      </c>
      <c r="BG93" t="e">
        <f>AND(#REF!,"AAAAAHutzzo=")</f>
        <v>#REF!</v>
      </c>
      <c r="BH93" t="e">
        <f>IF(#REF!,"AAAAAHutzzs=",0)</f>
        <v>#REF!</v>
      </c>
      <c r="BI93" t="e">
        <f>AND(#REF!,"AAAAAHutzzw=")</f>
        <v>#REF!</v>
      </c>
      <c r="BJ93" t="e">
        <f>AND(#REF!,"AAAAAHutzz0=")</f>
        <v>#REF!</v>
      </c>
      <c r="BK93" t="e">
        <f>AND(#REF!,"AAAAAHutzz4=")</f>
        <v>#REF!</v>
      </c>
      <c r="BL93" t="e">
        <f>AND(#REF!,"AAAAAHutzz8=")</f>
        <v>#REF!</v>
      </c>
      <c r="BM93" t="e">
        <f>AND(#REF!,"AAAAAHutz0A=")</f>
        <v>#REF!</v>
      </c>
      <c r="BN93" t="e">
        <f>AND(#REF!,"AAAAAHutz0E=")</f>
        <v>#REF!</v>
      </c>
      <c r="BO93" t="e">
        <f>AND(#REF!,"AAAAAHutz0I=")</f>
        <v>#REF!</v>
      </c>
      <c r="BP93" t="e">
        <f>AND(#REF!,"AAAAAHutz0M=")</f>
        <v>#REF!</v>
      </c>
      <c r="BQ93" t="e">
        <f>AND(#REF!,"AAAAAHutz0Q=")</f>
        <v>#REF!</v>
      </c>
      <c r="BR93" t="e">
        <f>AND(#REF!,"AAAAAHutz0U=")</f>
        <v>#REF!</v>
      </c>
      <c r="BS93" t="e">
        <f>AND(#REF!,"AAAAAHutz0Y=")</f>
        <v>#REF!</v>
      </c>
      <c r="BT93" t="e">
        <f>AND(#REF!,"AAAAAHutz0c=")</f>
        <v>#REF!</v>
      </c>
      <c r="BU93" t="e">
        <f>AND(#REF!,"AAAAAHutz0g=")</f>
        <v>#REF!</v>
      </c>
      <c r="BV93" t="e">
        <f>AND(#REF!,"AAAAAHutz0k=")</f>
        <v>#REF!</v>
      </c>
      <c r="BW93" t="e">
        <f>AND(#REF!,"AAAAAHutz0o=")</f>
        <v>#REF!</v>
      </c>
      <c r="BX93" t="e">
        <f>AND(#REF!,"AAAAAHutz0s=")</f>
        <v>#REF!</v>
      </c>
      <c r="BY93" t="e">
        <f>AND(#REF!,"AAAAAHutz0w=")</f>
        <v>#REF!</v>
      </c>
      <c r="BZ93" t="e">
        <f>AND(#REF!,"AAAAAHutz00=")</f>
        <v>#REF!</v>
      </c>
      <c r="CA93" t="e">
        <f>AND(#REF!,"AAAAAHutz04=")</f>
        <v>#REF!</v>
      </c>
      <c r="CB93" t="e">
        <f>AND(#REF!,"AAAAAHutz08=")</f>
        <v>#REF!</v>
      </c>
      <c r="CC93" t="e">
        <f>AND(#REF!,"AAAAAHutz1A=")</f>
        <v>#REF!</v>
      </c>
      <c r="CD93" t="e">
        <f>AND(#REF!,"AAAAAHutz1E=")</f>
        <v>#REF!</v>
      </c>
      <c r="CE93" t="e">
        <f>AND(#REF!,"AAAAAHutz1I=")</f>
        <v>#REF!</v>
      </c>
      <c r="CF93" t="e">
        <f>AND(#REF!,"AAAAAHutz1M=")</f>
        <v>#REF!</v>
      </c>
      <c r="CG93" t="e">
        <f>AND(#REF!,"AAAAAHutz1Q=")</f>
        <v>#REF!</v>
      </c>
      <c r="CH93" t="e">
        <f>AND(#REF!,"AAAAAHutz1U=")</f>
        <v>#REF!</v>
      </c>
      <c r="CI93" t="e">
        <f>IF(#REF!,"AAAAAHutz1Y=",0)</f>
        <v>#REF!</v>
      </c>
      <c r="CJ93" t="e">
        <f>AND(#REF!,"AAAAAHutz1c=")</f>
        <v>#REF!</v>
      </c>
      <c r="CK93" t="e">
        <f>AND(#REF!,"AAAAAHutz1g=")</f>
        <v>#REF!</v>
      </c>
      <c r="CL93" t="e">
        <f>AND(#REF!,"AAAAAHutz1k=")</f>
        <v>#REF!</v>
      </c>
      <c r="CM93" t="e">
        <f>AND(#REF!,"AAAAAHutz1o=")</f>
        <v>#REF!</v>
      </c>
      <c r="CN93" t="e">
        <f>AND(#REF!,"AAAAAHutz1s=")</f>
        <v>#REF!</v>
      </c>
      <c r="CO93" t="e">
        <f>AND(#REF!,"AAAAAHutz1w=")</f>
        <v>#REF!</v>
      </c>
      <c r="CP93" t="e">
        <f>AND(#REF!,"AAAAAHutz10=")</f>
        <v>#REF!</v>
      </c>
      <c r="CQ93" t="e">
        <f>AND(#REF!,"AAAAAHutz14=")</f>
        <v>#REF!</v>
      </c>
      <c r="CR93" t="e">
        <f>AND(#REF!,"AAAAAHutz18=")</f>
        <v>#REF!</v>
      </c>
      <c r="CS93" t="e">
        <f>AND(#REF!,"AAAAAHutz2A=")</f>
        <v>#REF!</v>
      </c>
      <c r="CT93" t="e">
        <f>AND(#REF!,"AAAAAHutz2E=")</f>
        <v>#REF!</v>
      </c>
      <c r="CU93" t="e">
        <f>AND(#REF!,"AAAAAHutz2I=")</f>
        <v>#REF!</v>
      </c>
      <c r="CV93" t="e">
        <f>AND(#REF!,"AAAAAHutz2M=")</f>
        <v>#REF!</v>
      </c>
      <c r="CW93" t="e">
        <f>AND(#REF!,"AAAAAHutz2Q=")</f>
        <v>#REF!</v>
      </c>
      <c r="CX93" t="e">
        <f>AND(#REF!,"AAAAAHutz2U=")</f>
        <v>#REF!</v>
      </c>
      <c r="CY93" t="e">
        <f>AND(#REF!,"AAAAAHutz2Y=")</f>
        <v>#REF!</v>
      </c>
      <c r="CZ93" t="e">
        <f>AND(#REF!,"AAAAAHutz2c=")</f>
        <v>#REF!</v>
      </c>
      <c r="DA93" t="e">
        <f>AND(#REF!,"AAAAAHutz2g=")</f>
        <v>#REF!</v>
      </c>
      <c r="DB93" t="e">
        <f>AND(#REF!,"AAAAAHutz2k=")</f>
        <v>#REF!</v>
      </c>
      <c r="DC93" t="e">
        <f>AND(#REF!,"AAAAAHutz2o=")</f>
        <v>#REF!</v>
      </c>
      <c r="DD93" t="e">
        <f>AND(#REF!,"AAAAAHutz2s=")</f>
        <v>#REF!</v>
      </c>
      <c r="DE93" t="e">
        <f>AND(#REF!,"AAAAAHutz2w=")</f>
        <v>#REF!</v>
      </c>
      <c r="DF93" t="e">
        <f>AND(#REF!,"AAAAAHutz20=")</f>
        <v>#REF!</v>
      </c>
      <c r="DG93" t="e">
        <f>AND(#REF!,"AAAAAHutz24=")</f>
        <v>#REF!</v>
      </c>
      <c r="DH93" t="e">
        <f>AND(#REF!,"AAAAAHutz28=")</f>
        <v>#REF!</v>
      </c>
      <c r="DI93" t="e">
        <f>AND(#REF!,"AAAAAHutz3A=")</f>
        <v>#REF!</v>
      </c>
      <c r="DJ93" t="e">
        <f>IF(#REF!,"AAAAAHutz3E=",0)</f>
        <v>#REF!</v>
      </c>
      <c r="DK93" t="e">
        <f>AND(#REF!,"AAAAAHutz3I=")</f>
        <v>#REF!</v>
      </c>
      <c r="DL93" t="e">
        <f>AND(#REF!,"AAAAAHutz3M=")</f>
        <v>#REF!</v>
      </c>
      <c r="DM93" t="e">
        <f>AND(#REF!,"AAAAAHutz3Q=")</f>
        <v>#REF!</v>
      </c>
      <c r="DN93" t="e">
        <f>AND(#REF!,"AAAAAHutz3U=")</f>
        <v>#REF!</v>
      </c>
      <c r="DO93" t="e">
        <f>AND(#REF!,"AAAAAHutz3Y=")</f>
        <v>#REF!</v>
      </c>
      <c r="DP93" t="e">
        <f>AND(#REF!,"AAAAAHutz3c=")</f>
        <v>#REF!</v>
      </c>
      <c r="DQ93" t="e">
        <f>AND(#REF!,"AAAAAHutz3g=")</f>
        <v>#REF!</v>
      </c>
      <c r="DR93" t="e">
        <f>AND(#REF!,"AAAAAHutz3k=")</f>
        <v>#REF!</v>
      </c>
      <c r="DS93" t="e">
        <f>AND(#REF!,"AAAAAHutz3o=")</f>
        <v>#REF!</v>
      </c>
      <c r="DT93" t="e">
        <f>AND(#REF!,"AAAAAHutz3s=")</f>
        <v>#REF!</v>
      </c>
      <c r="DU93" t="e">
        <f>AND(#REF!,"AAAAAHutz3w=")</f>
        <v>#REF!</v>
      </c>
      <c r="DV93" t="e">
        <f>AND(#REF!,"AAAAAHutz30=")</f>
        <v>#REF!</v>
      </c>
      <c r="DW93" t="e">
        <f>AND(#REF!,"AAAAAHutz34=")</f>
        <v>#REF!</v>
      </c>
      <c r="DX93" t="e">
        <f>AND(#REF!,"AAAAAHutz38=")</f>
        <v>#REF!</v>
      </c>
      <c r="DY93" t="e">
        <f>AND(#REF!,"AAAAAHutz4A=")</f>
        <v>#REF!</v>
      </c>
      <c r="DZ93" t="e">
        <f>AND(#REF!,"AAAAAHutz4E=")</f>
        <v>#REF!</v>
      </c>
      <c r="EA93" t="e">
        <f>AND(#REF!,"AAAAAHutz4I=")</f>
        <v>#REF!</v>
      </c>
      <c r="EB93" t="e">
        <f>AND(#REF!,"AAAAAHutz4M=")</f>
        <v>#REF!</v>
      </c>
      <c r="EC93" t="e">
        <f>AND(#REF!,"AAAAAHutz4Q=")</f>
        <v>#REF!</v>
      </c>
      <c r="ED93" t="e">
        <f>AND(#REF!,"AAAAAHutz4U=")</f>
        <v>#REF!</v>
      </c>
      <c r="EE93" t="e">
        <f>AND(#REF!,"AAAAAHutz4Y=")</f>
        <v>#REF!</v>
      </c>
      <c r="EF93" t="e">
        <f>AND(#REF!,"AAAAAHutz4c=")</f>
        <v>#REF!</v>
      </c>
      <c r="EG93" t="e">
        <f>AND(#REF!,"AAAAAHutz4g=")</f>
        <v>#REF!</v>
      </c>
      <c r="EH93" t="e">
        <f>AND(#REF!,"AAAAAHutz4k=")</f>
        <v>#REF!</v>
      </c>
      <c r="EI93" t="e">
        <f>AND(#REF!,"AAAAAHutz4o=")</f>
        <v>#REF!</v>
      </c>
      <c r="EJ93" t="e">
        <f>AND(#REF!,"AAAAAHutz4s=")</f>
        <v>#REF!</v>
      </c>
      <c r="EK93" t="e">
        <f>IF(#REF!,"AAAAAHutz4w=",0)</f>
        <v>#REF!</v>
      </c>
      <c r="EL93" t="e">
        <f>AND(#REF!,"AAAAAHutz40=")</f>
        <v>#REF!</v>
      </c>
      <c r="EM93" t="e">
        <f>AND(#REF!,"AAAAAHutz44=")</f>
        <v>#REF!</v>
      </c>
      <c r="EN93" t="e">
        <f>AND(#REF!,"AAAAAHutz48=")</f>
        <v>#REF!</v>
      </c>
      <c r="EO93" t="e">
        <f>AND(#REF!,"AAAAAHutz5A=")</f>
        <v>#REF!</v>
      </c>
      <c r="EP93" t="e">
        <f>AND(#REF!,"AAAAAHutz5E=")</f>
        <v>#REF!</v>
      </c>
      <c r="EQ93" t="e">
        <f>AND(#REF!,"AAAAAHutz5I=")</f>
        <v>#REF!</v>
      </c>
      <c r="ER93" t="e">
        <f>AND(#REF!,"AAAAAHutz5M=")</f>
        <v>#REF!</v>
      </c>
      <c r="ES93" t="e">
        <f>AND(#REF!,"AAAAAHutz5Q=")</f>
        <v>#REF!</v>
      </c>
      <c r="ET93" t="e">
        <f>AND(#REF!,"AAAAAHutz5U=")</f>
        <v>#REF!</v>
      </c>
      <c r="EU93" t="e">
        <f>AND(#REF!,"AAAAAHutz5Y=")</f>
        <v>#REF!</v>
      </c>
      <c r="EV93" t="e">
        <f>AND(#REF!,"AAAAAHutz5c=")</f>
        <v>#REF!</v>
      </c>
      <c r="EW93" t="e">
        <f>AND(#REF!,"AAAAAHutz5g=")</f>
        <v>#REF!</v>
      </c>
      <c r="EX93" t="e">
        <f>AND(#REF!,"AAAAAHutz5k=")</f>
        <v>#REF!</v>
      </c>
      <c r="EY93" t="e">
        <f>AND(#REF!,"AAAAAHutz5o=")</f>
        <v>#REF!</v>
      </c>
      <c r="EZ93" t="e">
        <f>AND(#REF!,"AAAAAHutz5s=")</f>
        <v>#REF!</v>
      </c>
      <c r="FA93" t="e">
        <f>AND(#REF!,"AAAAAHutz5w=")</f>
        <v>#REF!</v>
      </c>
      <c r="FB93" t="e">
        <f>AND(#REF!,"AAAAAHutz50=")</f>
        <v>#REF!</v>
      </c>
      <c r="FC93" t="e">
        <f>AND(#REF!,"AAAAAHutz54=")</f>
        <v>#REF!</v>
      </c>
      <c r="FD93" t="e">
        <f>AND(#REF!,"AAAAAHutz58=")</f>
        <v>#REF!</v>
      </c>
      <c r="FE93" t="e">
        <f>AND(#REF!,"AAAAAHutz6A=")</f>
        <v>#REF!</v>
      </c>
      <c r="FF93" t="e">
        <f>AND(#REF!,"AAAAAHutz6E=")</f>
        <v>#REF!</v>
      </c>
      <c r="FG93" t="e">
        <f>AND(#REF!,"AAAAAHutz6I=")</f>
        <v>#REF!</v>
      </c>
      <c r="FH93" t="e">
        <f>AND(#REF!,"AAAAAHutz6M=")</f>
        <v>#REF!</v>
      </c>
      <c r="FI93" t="e">
        <f>AND(#REF!,"AAAAAHutz6Q=")</f>
        <v>#REF!</v>
      </c>
      <c r="FJ93" t="e">
        <f>AND(#REF!,"AAAAAHutz6U=")</f>
        <v>#REF!</v>
      </c>
      <c r="FK93" t="e">
        <f>AND(#REF!,"AAAAAHutz6Y=")</f>
        <v>#REF!</v>
      </c>
      <c r="FL93" t="e">
        <f>IF(#REF!,"AAAAAHutz6c=",0)</f>
        <v>#REF!</v>
      </c>
      <c r="FM93" t="e">
        <f>AND(#REF!,"AAAAAHutz6g=")</f>
        <v>#REF!</v>
      </c>
      <c r="FN93" t="e">
        <f>AND(#REF!,"AAAAAHutz6k=")</f>
        <v>#REF!</v>
      </c>
      <c r="FO93" t="e">
        <f>AND(#REF!,"AAAAAHutz6o=")</f>
        <v>#REF!</v>
      </c>
      <c r="FP93" t="e">
        <f>AND(#REF!,"AAAAAHutz6s=")</f>
        <v>#REF!</v>
      </c>
      <c r="FQ93" t="e">
        <f>AND(#REF!,"AAAAAHutz6w=")</f>
        <v>#REF!</v>
      </c>
      <c r="FR93" t="e">
        <f>AND(#REF!,"AAAAAHutz60=")</f>
        <v>#REF!</v>
      </c>
      <c r="FS93" t="e">
        <f>AND(#REF!,"AAAAAHutz64=")</f>
        <v>#REF!</v>
      </c>
      <c r="FT93" t="e">
        <f>AND(#REF!,"AAAAAHutz68=")</f>
        <v>#REF!</v>
      </c>
      <c r="FU93" t="e">
        <f>AND(#REF!,"AAAAAHutz7A=")</f>
        <v>#REF!</v>
      </c>
      <c r="FV93" t="e">
        <f>AND(#REF!,"AAAAAHutz7E=")</f>
        <v>#REF!</v>
      </c>
      <c r="FW93" t="e">
        <f>AND(#REF!,"AAAAAHutz7I=")</f>
        <v>#REF!</v>
      </c>
      <c r="FX93" t="e">
        <f>AND(#REF!,"AAAAAHutz7M=")</f>
        <v>#REF!</v>
      </c>
      <c r="FY93" t="e">
        <f>AND(#REF!,"AAAAAHutz7Q=")</f>
        <v>#REF!</v>
      </c>
      <c r="FZ93" t="e">
        <f>AND(#REF!,"AAAAAHutz7U=")</f>
        <v>#REF!</v>
      </c>
      <c r="GA93" t="e">
        <f>AND(#REF!,"AAAAAHutz7Y=")</f>
        <v>#REF!</v>
      </c>
      <c r="GB93" t="e">
        <f>AND(#REF!,"AAAAAHutz7c=")</f>
        <v>#REF!</v>
      </c>
      <c r="GC93" t="e">
        <f>AND(#REF!,"AAAAAHutz7g=")</f>
        <v>#REF!</v>
      </c>
      <c r="GD93" t="e">
        <f>AND(#REF!,"AAAAAHutz7k=")</f>
        <v>#REF!</v>
      </c>
      <c r="GE93" t="e">
        <f>AND(#REF!,"AAAAAHutz7o=")</f>
        <v>#REF!</v>
      </c>
      <c r="GF93" t="e">
        <f>AND(#REF!,"AAAAAHutz7s=")</f>
        <v>#REF!</v>
      </c>
      <c r="GG93" t="e">
        <f>AND(#REF!,"AAAAAHutz7w=")</f>
        <v>#REF!</v>
      </c>
      <c r="GH93" t="e">
        <f>AND(#REF!,"AAAAAHutz70=")</f>
        <v>#REF!</v>
      </c>
      <c r="GI93" t="e">
        <f>AND(#REF!,"AAAAAHutz74=")</f>
        <v>#REF!</v>
      </c>
      <c r="GJ93" t="e">
        <f>AND(#REF!,"AAAAAHutz78=")</f>
        <v>#REF!</v>
      </c>
      <c r="GK93" t="e">
        <f>AND(#REF!,"AAAAAHutz8A=")</f>
        <v>#REF!</v>
      </c>
      <c r="GL93" t="e">
        <f>AND(#REF!,"AAAAAHutz8E=")</f>
        <v>#REF!</v>
      </c>
      <c r="GM93" t="e">
        <f>IF(#REF!,"AAAAAHutz8I=",0)</f>
        <v>#REF!</v>
      </c>
      <c r="GN93" t="e">
        <f>AND(#REF!,"AAAAAHutz8M=")</f>
        <v>#REF!</v>
      </c>
      <c r="GO93" t="e">
        <f>AND(#REF!,"AAAAAHutz8Q=")</f>
        <v>#REF!</v>
      </c>
      <c r="GP93" t="e">
        <f>AND(#REF!,"AAAAAHutz8U=")</f>
        <v>#REF!</v>
      </c>
      <c r="GQ93" t="e">
        <f>AND(#REF!,"AAAAAHutz8Y=")</f>
        <v>#REF!</v>
      </c>
      <c r="GR93" t="e">
        <f>AND(#REF!,"AAAAAHutz8c=")</f>
        <v>#REF!</v>
      </c>
      <c r="GS93" t="e">
        <f>AND(#REF!,"AAAAAHutz8g=")</f>
        <v>#REF!</v>
      </c>
      <c r="GT93" t="e">
        <f>AND(#REF!,"AAAAAHutz8k=")</f>
        <v>#REF!</v>
      </c>
      <c r="GU93" t="e">
        <f>AND(#REF!,"AAAAAHutz8o=")</f>
        <v>#REF!</v>
      </c>
      <c r="GV93" t="e">
        <f>AND(#REF!,"AAAAAHutz8s=")</f>
        <v>#REF!</v>
      </c>
      <c r="GW93" t="e">
        <f>AND(#REF!,"AAAAAHutz8w=")</f>
        <v>#REF!</v>
      </c>
      <c r="GX93" t="e">
        <f>AND(#REF!,"AAAAAHutz80=")</f>
        <v>#REF!</v>
      </c>
      <c r="GY93" t="e">
        <f>AND(#REF!,"AAAAAHutz84=")</f>
        <v>#REF!</v>
      </c>
      <c r="GZ93" t="e">
        <f>AND(#REF!,"AAAAAHutz88=")</f>
        <v>#REF!</v>
      </c>
      <c r="HA93" t="e">
        <f>AND(#REF!,"AAAAAHutz9A=")</f>
        <v>#REF!</v>
      </c>
      <c r="HB93" t="e">
        <f>AND(#REF!,"AAAAAHutz9E=")</f>
        <v>#REF!</v>
      </c>
      <c r="HC93" t="e">
        <f>AND(#REF!,"AAAAAHutz9I=")</f>
        <v>#REF!</v>
      </c>
      <c r="HD93" t="e">
        <f>AND(#REF!,"AAAAAHutz9M=")</f>
        <v>#REF!</v>
      </c>
      <c r="HE93" t="e">
        <f>AND(#REF!,"AAAAAHutz9Q=")</f>
        <v>#REF!</v>
      </c>
      <c r="HF93" t="e">
        <f>AND(#REF!,"AAAAAHutz9U=")</f>
        <v>#REF!</v>
      </c>
      <c r="HG93" t="e">
        <f>AND(#REF!,"AAAAAHutz9Y=")</f>
        <v>#REF!</v>
      </c>
      <c r="HH93" t="e">
        <f>AND(#REF!,"AAAAAHutz9c=")</f>
        <v>#REF!</v>
      </c>
      <c r="HI93" t="e">
        <f>AND(#REF!,"AAAAAHutz9g=")</f>
        <v>#REF!</v>
      </c>
      <c r="HJ93" t="e">
        <f>AND(#REF!,"AAAAAHutz9k=")</f>
        <v>#REF!</v>
      </c>
      <c r="HK93" t="e">
        <f>AND(#REF!,"AAAAAHutz9o=")</f>
        <v>#REF!</v>
      </c>
      <c r="HL93" t="e">
        <f>AND(#REF!,"AAAAAHutz9s=")</f>
        <v>#REF!</v>
      </c>
      <c r="HM93" t="e">
        <f>AND(#REF!,"AAAAAHutz9w=")</f>
        <v>#REF!</v>
      </c>
      <c r="HN93" t="e">
        <f>IF(#REF!,"AAAAAHutz90=",0)</f>
        <v>#REF!</v>
      </c>
      <c r="HO93" t="e">
        <f>IF(#REF!,"AAAAAHutz94=",0)</f>
        <v>#REF!</v>
      </c>
      <c r="HP93" t="e">
        <f>IF(#REF!,"AAAAAHutz98=",0)</f>
        <v>#REF!</v>
      </c>
      <c r="HQ93" t="e">
        <f>IF(#REF!,"AAAAAHutz+A=",0)</f>
        <v>#REF!</v>
      </c>
      <c r="HR93" t="e">
        <f>IF(#REF!,"AAAAAHutz+E=",0)</f>
        <v>#REF!</v>
      </c>
      <c r="HS93" t="e">
        <f>IF(#REF!,"AAAAAHutz+I=",0)</f>
        <v>#REF!</v>
      </c>
      <c r="HT93" t="e">
        <f>IF(#REF!,"AAAAAHutz+M=",0)</f>
        <v>#REF!</v>
      </c>
      <c r="HU93" t="e">
        <f>IF(#REF!,"AAAAAHutz+Q=",0)</f>
        <v>#REF!</v>
      </c>
      <c r="HV93" t="e">
        <f>IF(#REF!,"AAAAAHutz+U=",0)</f>
        <v>#REF!</v>
      </c>
      <c r="HW93" t="e">
        <f>IF(#REF!,"AAAAAHutz+Y=",0)</f>
        <v>#REF!</v>
      </c>
      <c r="HX93" t="e">
        <f>IF(#REF!,"AAAAAHutz+c=",0)</f>
        <v>#REF!</v>
      </c>
      <c r="HY93" t="e">
        <f>IF(#REF!,"AAAAAHutz+g=",0)</f>
        <v>#REF!</v>
      </c>
      <c r="HZ93" t="e">
        <f>IF(#REF!,"AAAAAHutz+k=",0)</f>
        <v>#REF!</v>
      </c>
      <c r="IA93" t="e">
        <f>IF(#REF!,"AAAAAHutz+o=",0)</f>
        <v>#REF!</v>
      </c>
      <c r="IB93" t="e">
        <f>IF(#REF!,"AAAAAHutz+s=",0)</f>
        <v>#REF!</v>
      </c>
      <c r="IC93" t="e">
        <f>IF(#REF!,"AAAAAHutz+w=",0)</f>
        <v>#REF!</v>
      </c>
      <c r="ID93" t="e">
        <f>IF(#REF!,"AAAAAHutz+0=",0)</f>
        <v>#REF!</v>
      </c>
      <c r="IE93" t="e">
        <f>IF(#REF!,"AAAAAHutz+4=",0)</f>
        <v>#REF!</v>
      </c>
      <c r="IF93" t="e">
        <f>IF(#REF!,"AAAAAHutz+8=",0)</f>
        <v>#REF!</v>
      </c>
      <c r="IG93" t="e">
        <f>IF(#REF!,"AAAAAHutz/A=",0)</f>
        <v>#REF!</v>
      </c>
      <c r="IH93" t="e">
        <f>IF(#REF!,"AAAAAHutz/E=",0)</f>
        <v>#REF!</v>
      </c>
      <c r="II93" t="e">
        <f>IF(#REF!,"AAAAAHutz/I=",0)</f>
        <v>#REF!</v>
      </c>
      <c r="IJ93" t="e">
        <f>IF(#REF!,"AAAAAHutz/M=",0)</f>
        <v>#REF!</v>
      </c>
      <c r="IK93" t="e">
        <f>IF(#REF!,"AAAAAHutz/Q=",0)</f>
        <v>#REF!</v>
      </c>
      <c r="IL93" t="e">
        <f>IF(#REF!,"AAAAAHutz/U=",0)</f>
        <v>#REF!</v>
      </c>
      <c r="IM93" t="e">
        <f>IF(#REF!,"AAAAAHutz/Y=",0)</f>
        <v>#REF!</v>
      </c>
      <c r="IN93" t="e">
        <f>IF(#REF!,"AAAAAHutz/c=",0)</f>
        <v>#REF!</v>
      </c>
      <c r="IO93" t="e">
        <f>AND(#REF!,"AAAAAHutz/g=")</f>
        <v>#REF!</v>
      </c>
      <c r="IP93" t="e">
        <f>AND(#REF!,"AAAAAHutz/k=")</f>
        <v>#REF!</v>
      </c>
      <c r="IQ93" t="e">
        <f>AND(#REF!,"AAAAAHutz/o=")</f>
        <v>#REF!</v>
      </c>
      <c r="IR93" t="e">
        <f>AND(#REF!,"AAAAAHutz/s=")</f>
        <v>#REF!</v>
      </c>
      <c r="IS93" t="e">
        <f>AND(#REF!,"AAAAAHutz/w=")</f>
        <v>#REF!</v>
      </c>
      <c r="IT93" t="e">
        <f>AND(#REF!,"AAAAAHutz/0=")</f>
        <v>#REF!</v>
      </c>
      <c r="IU93" t="e">
        <f>AND(#REF!,"AAAAAHutz/4=")</f>
        <v>#REF!</v>
      </c>
      <c r="IV93" t="e">
        <f>AND(#REF!,"AAAAAHutz/8=")</f>
        <v>#REF!</v>
      </c>
    </row>
    <row r="94" spans="1:256" x14ac:dyDescent="0.2">
      <c r="A94" t="e">
        <f>AND(#REF!,"AAAAAHJ78gA=")</f>
        <v>#REF!</v>
      </c>
      <c r="B94" t="e">
        <f>AND(#REF!,"AAAAAHJ78gE=")</f>
        <v>#REF!</v>
      </c>
      <c r="C94" t="e">
        <f>AND(#REF!,"AAAAAHJ78gI=")</f>
        <v>#REF!</v>
      </c>
      <c r="D94" t="e">
        <f>AND(#REF!,"AAAAAHJ78gM=")</f>
        <v>#REF!</v>
      </c>
      <c r="E94" t="e">
        <f>AND(#REF!,"AAAAAHJ78gQ=")</f>
        <v>#REF!</v>
      </c>
      <c r="F94" t="e">
        <f>AND(#REF!,"AAAAAHJ78gU=")</f>
        <v>#REF!</v>
      </c>
      <c r="G94" t="e">
        <f>AND(#REF!,"AAAAAHJ78gY=")</f>
        <v>#REF!</v>
      </c>
      <c r="H94" t="e">
        <f>AND(#REF!,"AAAAAHJ78gc=")</f>
        <v>#REF!</v>
      </c>
      <c r="I94" t="e">
        <f>AND(#REF!,"AAAAAHJ78gg=")</f>
        <v>#REF!</v>
      </c>
      <c r="J94" t="e">
        <f>AND(#REF!,"AAAAAHJ78gk=")</f>
        <v>#REF!</v>
      </c>
      <c r="K94" t="e">
        <f>AND(#REF!,"AAAAAHJ78go=")</f>
        <v>#REF!</v>
      </c>
      <c r="L94" t="e">
        <f>AND(#REF!,"AAAAAHJ78gs=")</f>
        <v>#REF!</v>
      </c>
      <c r="M94" t="e">
        <f>AND(#REF!,"AAAAAHJ78gw=")</f>
        <v>#REF!</v>
      </c>
      <c r="N94" t="e">
        <f>AND(#REF!,"AAAAAHJ78g0=")</f>
        <v>#REF!</v>
      </c>
      <c r="O94" t="e">
        <f>AND(#REF!,"AAAAAHJ78g4=")</f>
        <v>#REF!</v>
      </c>
      <c r="P94" t="e">
        <f>AND(#REF!,"AAAAAHJ78g8=")</f>
        <v>#REF!</v>
      </c>
      <c r="Q94" t="e">
        <f>AND(#REF!,"AAAAAHJ78hA=")</f>
        <v>#REF!</v>
      </c>
      <c r="R94" t="e">
        <f>AND(#REF!,"AAAAAHJ78hE=")</f>
        <v>#REF!</v>
      </c>
      <c r="S94" t="e">
        <f>IF(#REF!,"AAAAAHJ78hI=",0)</f>
        <v>#REF!</v>
      </c>
      <c r="T94" t="e">
        <f>AND(#REF!,"AAAAAHJ78hM=")</f>
        <v>#REF!</v>
      </c>
      <c r="U94" t="e">
        <f>AND(#REF!,"AAAAAHJ78hQ=")</f>
        <v>#REF!</v>
      </c>
      <c r="V94" t="e">
        <f>AND(#REF!,"AAAAAHJ78hU=")</f>
        <v>#REF!</v>
      </c>
      <c r="W94" t="e">
        <f>AND(#REF!,"AAAAAHJ78hY=")</f>
        <v>#REF!</v>
      </c>
      <c r="X94" t="e">
        <f>AND(#REF!,"AAAAAHJ78hc=")</f>
        <v>#REF!</v>
      </c>
      <c r="Y94" t="e">
        <f>AND(#REF!,"AAAAAHJ78hg=")</f>
        <v>#REF!</v>
      </c>
      <c r="Z94" t="e">
        <f>AND(#REF!,"AAAAAHJ78hk=")</f>
        <v>#REF!</v>
      </c>
      <c r="AA94" t="e">
        <f>AND(#REF!,"AAAAAHJ78ho=")</f>
        <v>#REF!</v>
      </c>
      <c r="AB94" t="e">
        <f>AND(#REF!,"AAAAAHJ78hs=")</f>
        <v>#REF!</v>
      </c>
      <c r="AC94" t="e">
        <f>AND(#REF!,"AAAAAHJ78hw=")</f>
        <v>#REF!</v>
      </c>
      <c r="AD94" t="e">
        <f>AND(#REF!,"AAAAAHJ78h0=")</f>
        <v>#REF!</v>
      </c>
      <c r="AE94" t="e">
        <f>AND(#REF!,"AAAAAHJ78h4=")</f>
        <v>#REF!</v>
      </c>
      <c r="AF94" t="e">
        <f>AND(#REF!,"AAAAAHJ78h8=")</f>
        <v>#REF!</v>
      </c>
      <c r="AG94" t="e">
        <f>AND(#REF!,"AAAAAHJ78iA=")</f>
        <v>#REF!</v>
      </c>
      <c r="AH94" t="e">
        <f>AND(#REF!,"AAAAAHJ78iE=")</f>
        <v>#REF!</v>
      </c>
      <c r="AI94" t="e">
        <f>AND(#REF!,"AAAAAHJ78iI=")</f>
        <v>#REF!</v>
      </c>
      <c r="AJ94" t="e">
        <f>AND(#REF!,"AAAAAHJ78iM=")</f>
        <v>#REF!</v>
      </c>
      <c r="AK94" t="e">
        <f>AND(#REF!,"AAAAAHJ78iQ=")</f>
        <v>#REF!</v>
      </c>
      <c r="AL94" t="e">
        <f>AND(#REF!,"AAAAAHJ78iU=")</f>
        <v>#REF!</v>
      </c>
      <c r="AM94" t="e">
        <f>AND(#REF!,"AAAAAHJ78iY=")</f>
        <v>#REF!</v>
      </c>
      <c r="AN94" t="e">
        <f>AND(#REF!,"AAAAAHJ78ic=")</f>
        <v>#REF!</v>
      </c>
      <c r="AO94" t="e">
        <f>AND(#REF!,"AAAAAHJ78ig=")</f>
        <v>#REF!</v>
      </c>
      <c r="AP94" t="e">
        <f>AND(#REF!,"AAAAAHJ78ik=")</f>
        <v>#REF!</v>
      </c>
      <c r="AQ94" t="e">
        <f>AND(#REF!,"AAAAAHJ78io=")</f>
        <v>#REF!</v>
      </c>
      <c r="AR94" t="e">
        <f>AND(#REF!,"AAAAAHJ78is=")</f>
        <v>#REF!</v>
      </c>
      <c r="AS94" t="e">
        <f>AND(#REF!,"AAAAAHJ78iw=")</f>
        <v>#REF!</v>
      </c>
      <c r="AT94" t="e">
        <f>IF(#REF!,"AAAAAHJ78i0=",0)</f>
        <v>#REF!</v>
      </c>
      <c r="AU94" t="e">
        <f>AND(#REF!,"AAAAAHJ78i4=")</f>
        <v>#REF!</v>
      </c>
      <c r="AV94" t="e">
        <f>AND(#REF!,"AAAAAHJ78i8=")</f>
        <v>#REF!</v>
      </c>
      <c r="AW94" t="e">
        <f>AND(#REF!,"AAAAAHJ78jA=")</f>
        <v>#REF!</v>
      </c>
      <c r="AX94" t="e">
        <f>AND(#REF!,"AAAAAHJ78jE=")</f>
        <v>#REF!</v>
      </c>
      <c r="AY94" t="e">
        <f>AND(#REF!,"AAAAAHJ78jI=")</f>
        <v>#REF!</v>
      </c>
      <c r="AZ94" t="e">
        <f>AND(#REF!,"AAAAAHJ78jM=")</f>
        <v>#REF!</v>
      </c>
      <c r="BA94" t="e">
        <f>AND(#REF!,"AAAAAHJ78jQ=")</f>
        <v>#REF!</v>
      </c>
      <c r="BB94" t="e">
        <f>AND(#REF!,"AAAAAHJ78jU=")</f>
        <v>#REF!</v>
      </c>
      <c r="BC94" t="e">
        <f>AND(#REF!,"AAAAAHJ78jY=")</f>
        <v>#REF!</v>
      </c>
      <c r="BD94" t="e">
        <f>AND(#REF!,"AAAAAHJ78jc=")</f>
        <v>#REF!</v>
      </c>
      <c r="BE94" t="e">
        <f>AND(#REF!,"AAAAAHJ78jg=")</f>
        <v>#REF!</v>
      </c>
      <c r="BF94" t="e">
        <f>AND(#REF!,"AAAAAHJ78jk=")</f>
        <v>#REF!</v>
      </c>
      <c r="BG94" t="e">
        <f>AND(#REF!,"AAAAAHJ78jo=")</f>
        <v>#REF!</v>
      </c>
      <c r="BH94" t="e">
        <f>AND(#REF!,"AAAAAHJ78js=")</f>
        <v>#REF!</v>
      </c>
      <c r="BI94" t="e">
        <f>AND(#REF!,"AAAAAHJ78jw=")</f>
        <v>#REF!</v>
      </c>
      <c r="BJ94" t="e">
        <f>AND(#REF!,"AAAAAHJ78j0=")</f>
        <v>#REF!</v>
      </c>
      <c r="BK94" t="e">
        <f>AND(#REF!,"AAAAAHJ78j4=")</f>
        <v>#REF!</v>
      </c>
      <c r="BL94" t="e">
        <f>AND(#REF!,"AAAAAHJ78j8=")</f>
        <v>#REF!</v>
      </c>
      <c r="BM94" t="e">
        <f>AND(#REF!,"AAAAAHJ78kA=")</f>
        <v>#REF!</v>
      </c>
      <c r="BN94" t="e">
        <f>AND(#REF!,"AAAAAHJ78kE=")</f>
        <v>#REF!</v>
      </c>
      <c r="BO94" t="e">
        <f>AND(#REF!,"AAAAAHJ78kI=")</f>
        <v>#REF!</v>
      </c>
      <c r="BP94" t="e">
        <f>AND(#REF!,"AAAAAHJ78kM=")</f>
        <v>#REF!</v>
      </c>
      <c r="BQ94" t="e">
        <f>AND(#REF!,"AAAAAHJ78kQ=")</f>
        <v>#REF!</v>
      </c>
      <c r="BR94" t="e">
        <f>AND(#REF!,"AAAAAHJ78kU=")</f>
        <v>#REF!</v>
      </c>
      <c r="BS94" t="e">
        <f>AND(#REF!,"AAAAAHJ78kY=")</f>
        <v>#REF!</v>
      </c>
      <c r="BT94" t="e">
        <f>AND(#REF!,"AAAAAHJ78kc=")</f>
        <v>#REF!</v>
      </c>
      <c r="BU94" t="e">
        <f>IF(#REF!,"AAAAAHJ78kg=",0)</f>
        <v>#REF!</v>
      </c>
      <c r="BV94" t="e">
        <f>AND(#REF!,"AAAAAHJ78kk=")</f>
        <v>#REF!</v>
      </c>
      <c r="BW94" t="e">
        <f>AND(#REF!,"AAAAAHJ78ko=")</f>
        <v>#REF!</v>
      </c>
      <c r="BX94" t="e">
        <f>AND(#REF!,"AAAAAHJ78ks=")</f>
        <v>#REF!</v>
      </c>
      <c r="BY94" t="e">
        <f>AND(#REF!,"AAAAAHJ78kw=")</f>
        <v>#REF!</v>
      </c>
      <c r="BZ94" t="e">
        <f>AND(#REF!,"AAAAAHJ78k0=")</f>
        <v>#REF!</v>
      </c>
      <c r="CA94" t="e">
        <f>AND(#REF!,"AAAAAHJ78k4=")</f>
        <v>#REF!</v>
      </c>
      <c r="CB94" t="e">
        <f>AND(#REF!,"AAAAAHJ78k8=")</f>
        <v>#REF!</v>
      </c>
      <c r="CC94" t="e">
        <f>AND(#REF!,"AAAAAHJ78lA=")</f>
        <v>#REF!</v>
      </c>
      <c r="CD94" t="e">
        <f>AND(#REF!,"AAAAAHJ78lE=")</f>
        <v>#REF!</v>
      </c>
      <c r="CE94" t="e">
        <f>AND(#REF!,"AAAAAHJ78lI=")</f>
        <v>#REF!</v>
      </c>
      <c r="CF94" t="e">
        <f>AND(#REF!,"AAAAAHJ78lM=")</f>
        <v>#REF!</v>
      </c>
      <c r="CG94" t="e">
        <f>AND(#REF!,"AAAAAHJ78lQ=")</f>
        <v>#REF!</v>
      </c>
      <c r="CH94" t="e">
        <f>AND(#REF!,"AAAAAHJ78lU=")</f>
        <v>#REF!</v>
      </c>
      <c r="CI94" t="e">
        <f>AND(#REF!,"AAAAAHJ78lY=")</f>
        <v>#REF!</v>
      </c>
      <c r="CJ94" t="e">
        <f>AND(#REF!,"AAAAAHJ78lc=")</f>
        <v>#REF!</v>
      </c>
      <c r="CK94" t="e">
        <f>AND(#REF!,"AAAAAHJ78lg=")</f>
        <v>#REF!</v>
      </c>
      <c r="CL94" t="e">
        <f>AND(#REF!,"AAAAAHJ78lk=")</f>
        <v>#REF!</v>
      </c>
      <c r="CM94" t="e">
        <f>AND(#REF!,"AAAAAHJ78lo=")</f>
        <v>#REF!</v>
      </c>
      <c r="CN94" t="e">
        <f>AND(#REF!,"AAAAAHJ78ls=")</f>
        <v>#REF!</v>
      </c>
      <c r="CO94" t="e">
        <f>AND(#REF!,"AAAAAHJ78lw=")</f>
        <v>#REF!</v>
      </c>
      <c r="CP94" t="e">
        <f>AND(#REF!,"AAAAAHJ78l0=")</f>
        <v>#REF!</v>
      </c>
      <c r="CQ94" t="e">
        <f>AND(#REF!,"AAAAAHJ78l4=")</f>
        <v>#REF!</v>
      </c>
      <c r="CR94" t="e">
        <f>AND(#REF!,"AAAAAHJ78l8=")</f>
        <v>#REF!</v>
      </c>
      <c r="CS94" t="e">
        <f>AND(#REF!,"AAAAAHJ78mA=")</f>
        <v>#REF!</v>
      </c>
      <c r="CT94" t="e">
        <f>AND(#REF!,"AAAAAHJ78mE=")</f>
        <v>#REF!</v>
      </c>
      <c r="CU94" t="e">
        <f>AND(#REF!,"AAAAAHJ78mI=")</f>
        <v>#REF!</v>
      </c>
      <c r="CV94" t="e">
        <f>IF(#REF!,"AAAAAHJ78mM=",0)</f>
        <v>#REF!</v>
      </c>
      <c r="CW94" t="e">
        <f>AND(#REF!,"AAAAAHJ78mQ=")</f>
        <v>#REF!</v>
      </c>
      <c r="CX94" t="e">
        <f>AND(#REF!,"AAAAAHJ78mU=")</f>
        <v>#REF!</v>
      </c>
      <c r="CY94" t="e">
        <f>AND(#REF!,"AAAAAHJ78mY=")</f>
        <v>#REF!</v>
      </c>
      <c r="CZ94" t="e">
        <f>AND(#REF!,"AAAAAHJ78mc=")</f>
        <v>#REF!</v>
      </c>
      <c r="DA94" t="e">
        <f>AND(#REF!,"AAAAAHJ78mg=")</f>
        <v>#REF!</v>
      </c>
      <c r="DB94" t="e">
        <f>AND(#REF!,"AAAAAHJ78mk=")</f>
        <v>#REF!</v>
      </c>
      <c r="DC94" t="e">
        <f>AND(#REF!,"AAAAAHJ78mo=")</f>
        <v>#REF!</v>
      </c>
      <c r="DD94" t="e">
        <f>AND(#REF!,"AAAAAHJ78ms=")</f>
        <v>#REF!</v>
      </c>
      <c r="DE94" t="e">
        <f>AND(#REF!,"AAAAAHJ78mw=")</f>
        <v>#REF!</v>
      </c>
      <c r="DF94" t="e">
        <f>AND(#REF!,"AAAAAHJ78m0=")</f>
        <v>#REF!</v>
      </c>
      <c r="DG94" t="e">
        <f>AND(#REF!,"AAAAAHJ78m4=")</f>
        <v>#REF!</v>
      </c>
      <c r="DH94" t="e">
        <f>AND(#REF!,"AAAAAHJ78m8=")</f>
        <v>#REF!</v>
      </c>
      <c r="DI94" t="e">
        <f>AND(#REF!,"AAAAAHJ78nA=")</f>
        <v>#REF!</v>
      </c>
      <c r="DJ94" t="e">
        <f>AND(#REF!,"AAAAAHJ78nE=")</f>
        <v>#REF!</v>
      </c>
      <c r="DK94" t="e">
        <f>AND(#REF!,"AAAAAHJ78nI=")</f>
        <v>#REF!</v>
      </c>
      <c r="DL94" t="e">
        <f>AND(#REF!,"AAAAAHJ78nM=")</f>
        <v>#REF!</v>
      </c>
      <c r="DM94" t="e">
        <f>AND(#REF!,"AAAAAHJ78nQ=")</f>
        <v>#REF!</v>
      </c>
      <c r="DN94" t="e">
        <f>AND(#REF!,"AAAAAHJ78nU=")</f>
        <v>#REF!</v>
      </c>
      <c r="DO94" t="e">
        <f>AND(#REF!,"AAAAAHJ78nY=")</f>
        <v>#REF!</v>
      </c>
      <c r="DP94" t="e">
        <f>AND(#REF!,"AAAAAHJ78nc=")</f>
        <v>#REF!</v>
      </c>
      <c r="DQ94" t="e">
        <f>AND(#REF!,"AAAAAHJ78ng=")</f>
        <v>#REF!</v>
      </c>
      <c r="DR94" t="e">
        <f>AND(#REF!,"AAAAAHJ78nk=")</f>
        <v>#REF!</v>
      </c>
      <c r="DS94" t="e">
        <f>AND(#REF!,"AAAAAHJ78no=")</f>
        <v>#REF!</v>
      </c>
      <c r="DT94" t="e">
        <f>AND(#REF!,"AAAAAHJ78ns=")</f>
        <v>#REF!</v>
      </c>
      <c r="DU94" t="e">
        <f>AND(#REF!,"AAAAAHJ78nw=")</f>
        <v>#REF!</v>
      </c>
      <c r="DV94" t="e">
        <f>AND(#REF!,"AAAAAHJ78n0=")</f>
        <v>#REF!</v>
      </c>
      <c r="DW94" t="e">
        <f>IF(#REF!,"AAAAAHJ78n4=",0)</f>
        <v>#REF!</v>
      </c>
      <c r="DX94" t="e">
        <f>AND(#REF!,"AAAAAHJ78n8=")</f>
        <v>#REF!</v>
      </c>
      <c r="DY94" t="e">
        <f>AND(#REF!,"AAAAAHJ78oA=")</f>
        <v>#REF!</v>
      </c>
      <c r="DZ94" t="e">
        <f>AND(#REF!,"AAAAAHJ78oE=")</f>
        <v>#REF!</v>
      </c>
      <c r="EA94" t="e">
        <f>AND(#REF!,"AAAAAHJ78oI=")</f>
        <v>#REF!</v>
      </c>
      <c r="EB94" t="e">
        <f>AND(#REF!,"AAAAAHJ78oM=")</f>
        <v>#REF!</v>
      </c>
      <c r="EC94" t="e">
        <f>AND(#REF!,"AAAAAHJ78oQ=")</f>
        <v>#REF!</v>
      </c>
      <c r="ED94" t="e">
        <f>AND(#REF!,"AAAAAHJ78oU=")</f>
        <v>#REF!</v>
      </c>
      <c r="EE94" t="e">
        <f>AND(#REF!,"AAAAAHJ78oY=")</f>
        <v>#REF!</v>
      </c>
      <c r="EF94" t="e">
        <f>AND(#REF!,"AAAAAHJ78oc=")</f>
        <v>#REF!</v>
      </c>
      <c r="EG94" t="e">
        <f>AND(#REF!,"AAAAAHJ78og=")</f>
        <v>#REF!</v>
      </c>
      <c r="EH94" t="e">
        <f>AND(#REF!,"AAAAAHJ78ok=")</f>
        <v>#REF!</v>
      </c>
      <c r="EI94" t="e">
        <f>AND(#REF!,"AAAAAHJ78oo=")</f>
        <v>#REF!</v>
      </c>
      <c r="EJ94" t="e">
        <f>AND(#REF!,"AAAAAHJ78os=")</f>
        <v>#REF!</v>
      </c>
      <c r="EK94" t="e">
        <f>AND(#REF!,"AAAAAHJ78ow=")</f>
        <v>#REF!</v>
      </c>
      <c r="EL94" t="e">
        <f>AND(#REF!,"AAAAAHJ78o0=")</f>
        <v>#REF!</v>
      </c>
      <c r="EM94" t="e">
        <f>AND(#REF!,"AAAAAHJ78o4=")</f>
        <v>#REF!</v>
      </c>
      <c r="EN94" t="e">
        <f>AND(#REF!,"AAAAAHJ78o8=")</f>
        <v>#REF!</v>
      </c>
      <c r="EO94" t="e">
        <f>AND(#REF!,"AAAAAHJ78pA=")</f>
        <v>#REF!</v>
      </c>
      <c r="EP94" t="e">
        <f>AND(#REF!,"AAAAAHJ78pE=")</f>
        <v>#REF!</v>
      </c>
      <c r="EQ94" t="e">
        <f>AND(#REF!,"AAAAAHJ78pI=")</f>
        <v>#REF!</v>
      </c>
      <c r="ER94" t="e">
        <f>AND(#REF!,"AAAAAHJ78pM=")</f>
        <v>#REF!</v>
      </c>
      <c r="ES94" t="e">
        <f>AND(#REF!,"AAAAAHJ78pQ=")</f>
        <v>#REF!</v>
      </c>
      <c r="ET94" t="e">
        <f>AND(#REF!,"AAAAAHJ78pU=")</f>
        <v>#REF!</v>
      </c>
      <c r="EU94" t="e">
        <f>AND(#REF!,"AAAAAHJ78pY=")</f>
        <v>#REF!</v>
      </c>
      <c r="EV94" t="e">
        <f>AND(#REF!,"AAAAAHJ78pc=")</f>
        <v>#REF!</v>
      </c>
      <c r="EW94" t="e">
        <f>AND(#REF!,"AAAAAHJ78pg=")</f>
        <v>#REF!</v>
      </c>
      <c r="EX94" t="e">
        <f>IF(#REF!,"AAAAAHJ78pk=",0)</f>
        <v>#REF!</v>
      </c>
      <c r="EY94" t="e">
        <f>AND(#REF!,"AAAAAHJ78po=")</f>
        <v>#REF!</v>
      </c>
      <c r="EZ94" t="e">
        <f>AND(#REF!,"AAAAAHJ78ps=")</f>
        <v>#REF!</v>
      </c>
      <c r="FA94" t="e">
        <f>AND(#REF!,"AAAAAHJ78pw=")</f>
        <v>#REF!</v>
      </c>
      <c r="FB94" t="e">
        <f>AND(#REF!,"AAAAAHJ78p0=")</f>
        <v>#REF!</v>
      </c>
      <c r="FC94" t="e">
        <f>AND(#REF!,"AAAAAHJ78p4=")</f>
        <v>#REF!</v>
      </c>
      <c r="FD94" t="e">
        <f>AND(#REF!,"AAAAAHJ78p8=")</f>
        <v>#REF!</v>
      </c>
      <c r="FE94" t="e">
        <f>AND(#REF!,"AAAAAHJ78qA=")</f>
        <v>#REF!</v>
      </c>
      <c r="FF94" t="e">
        <f>AND(#REF!,"AAAAAHJ78qE=")</f>
        <v>#REF!</v>
      </c>
      <c r="FG94" t="e">
        <f>AND(#REF!,"AAAAAHJ78qI=")</f>
        <v>#REF!</v>
      </c>
      <c r="FH94" t="e">
        <f>AND(#REF!,"AAAAAHJ78qM=")</f>
        <v>#REF!</v>
      </c>
      <c r="FI94" t="e">
        <f>AND(#REF!,"AAAAAHJ78qQ=")</f>
        <v>#REF!</v>
      </c>
      <c r="FJ94" t="e">
        <f>AND(#REF!,"AAAAAHJ78qU=")</f>
        <v>#REF!</v>
      </c>
      <c r="FK94" t="e">
        <f>AND(#REF!,"AAAAAHJ78qY=")</f>
        <v>#REF!</v>
      </c>
      <c r="FL94" t="e">
        <f>AND(#REF!,"AAAAAHJ78qc=")</f>
        <v>#REF!</v>
      </c>
      <c r="FM94" t="e">
        <f>AND(#REF!,"AAAAAHJ78qg=")</f>
        <v>#REF!</v>
      </c>
      <c r="FN94" t="e">
        <f>AND(#REF!,"AAAAAHJ78qk=")</f>
        <v>#REF!</v>
      </c>
      <c r="FO94" t="e">
        <f>AND(#REF!,"AAAAAHJ78qo=")</f>
        <v>#REF!</v>
      </c>
      <c r="FP94" t="e">
        <f>AND(#REF!,"AAAAAHJ78qs=")</f>
        <v>#REF!</v>
      </c>
      <c r="FQ94" t="e">
        <f>AND(#REF!,"AAAAAHJ78qw=")</f>
        <v>#REF!</v>
      </c>
      <c r="FR94" t="e">
        <f>AND(#REF!,"AAAAAHJ78q0=")</f>
        <v>#REF!</v>
      </c>
      <c r="FS94" t="e">
        <f>AND(#REF!,"AAAAAHJ78q4=")</f>
        <v>#REF!</v>
      </c>
      <c r="FT94" t="e">
        <f>AND(#REF!,"AAAAAHJ78q8=")</f>
        <v>#REF!</v>
      </c>
      <c r="FU94" t="e">
        <f>AND(#REF!,"AAAAAHJ78rA=")</f>
        <v>#REF!</v>
      </c>
      <c r="FV94" t="e">
        <f>AND(#REF!,"AAAAAHJ78rE=")</f>
        <v>#REF!</v>
      </c>
      <c r="FW94" t="e">
        <f>AND(#REF!,"AAAAAHJ78rI=")</f>
        <v>#REF!</v>
      </c>
      <c r="FX94" t="e">
        <f>AND(#REF!,"AAAAAHJ78rM=")</f>
        <v>#REF!</v>
      </c>
      <c r="FY94" t="e">
        <f>IF(#REF!,"AAAAAHJ78rQ=",0)</f>
        <v>#REF!</v>
      </c>
      <c r="FZ94" t="e">
        <f>AND(#REF!,"AAAAAHJ78rU=")</f>
        <v>#REF!</v>
      </c>
      <c r="GA94" t="e">
        <f>AND(#REF!,"AAAAAHJ78rY=")</f>
        <v>#REF!</v>
      </c>
      <c r="GB94" t="e">
        <f>AND(#REF!,"AAAAAHJ78rc=")</f>
        <v>#REF!</v>
      </c>
      <c r="GC94" t="e">
        <f>AND(#REF!,"AAAAAHJ78rg=")</f>
        <v>#REF!</v>
      </c>
      <c r="GD94" t="e">
        <f>AND(#REF!,"AAAAAHJ78rk=")</f>
        <v>#REF!</v>
      </c>
      <c r="GE94" t="e">
        <f>AND(#REF!,"AAAAAHJ78ro=")</f>
        <v>#REF!</v>
      </c>
      <c r="GF94" t="e">
        <f>AND(#REF!,"AAAAAHJ78rs=")</f>
        <v>#REF!</v>
      </c>
      <c r="GG94" t="e">
        <f>AND(#REF!,"AAAAAHJ78rw=")</f>
        <v>#REF!</v>
      </c>
      <c r="GH94" t="e">
        <f>AND(#REF!,"AAAAAHJ78r0=")</f>
        <v>#REF!</v>
      </c>
      <c r="GI94" t="e">
        <f>AND(#REF!,"AAAAAHJ78r4=")</f>
        <v>#REF!</v>
      </c>
      <c r="GJ94" t="e">
        <f>AND(#REF!,"AAAAAHJ78r8=")</f>
        <v>#REF!</v>
      </c>
      <c r="GK94" t="e">
        <f>AND(#REF!,"AAAAAHJ78sA=")</f>
        <v>#REF!</v>
      </c>
      <c r="GL94" t="e">
        <f>AND(#REF!,"AAAAAHJ78sE=")</f>
        <v>#REF!</v>
      </c>
      <c r="GM94" t="e">
        <f>AND(#REF!,"AAAAAHJ78sI=")</f>
        <v>#REF!</v>
      </c>
      <c r="GN94" t="e">
        <f>AND(#REF!,"AAAAAHJ78sM=")</f>
        <v>#REF!</v>
      </c>
      <c r="GO94" t="e">
        <f>AND(#REF!,"AAAAAHJ78sQ=")</f>
        <v>#REF!</v>
      </c>
      <c r="GP94" t="e">
        <f>AND(#REF!,"AAAAAHJ78sU=")</f>
        <v>#REF!</v>
      </c>
      <c r="GQ94" t="e">
        <f>AND(#REF!,"AAAAAHJ78sY=")</f>
        <v>#REF!</v>
      </c>
      <c r="GR94" t="e">
        <f>AND(#REF!,"AAAAAHJ78sc=")</f>
        <v>#REF!</v>
      </c>
      <c r="GS94" t="e">
        <f>AND(#REF!,"AAAAAHJ78sg=")</f>
        <v>#REF!</v>
      </c>
      <c r="GT94" t="e">
        <f>AND(#REF!,"AAAAAHJ78sk=")</f>
        <v>#REF!</v>
      </c>
      <c r="GU94" t="e">
        <f>AND(#REF!,"AAAAAHJ78so=")</f>
        <v>#REF!</v>
      </c>
      <c r="GV94" t="e">
        <f>AND(#REF!,"AAAAAHJ78ss=")</f>
        <v>#REF!</v>
      </c>
      <c r="GW94" t="e">
        <f>AND(#REF!,"AAAAAHJ78sw=")</f>
        <v>#REF!</v>
      </c>
      <c r="GX94" t="e">
        <f>AND(#REF!,"AAAAAHJ78s0=")</f>
        <v>#REF!</v>
      </c>
      <c r="GY94" t="e">
        <f>AND(#REF!,"AAAAAHJ78s4=")</f>
        <v>#REF!</v>
      </c>
      <c r="GZ94" t="e">
        <f>IF(#REF!,"AAAAAHJ78s8=",0)</f>
        <v>#REF!</v>
      </c>
      <c r="HA94" t="e">
        <f>AND(#REF!,"AAAAAHJ78tA=")</f>
        <v>#REF!</v>
      </c>
      <c r="HB94" t="e">
        <f>AND(#REF!,"AAAAAHJ78tE=")</f>
        <v>#REF!</v>
      </c>
      <c r="HC94" t="e">
        <f>AND(#REF!,"AAAAAHJ78tI=")</f>
        <v>#REF!</v>
      </c>
      <c r="HD94" t="e">
        <f>AND(#REF!,"AAAAAHJ78tM=")</f>
        <v>#REF!</v>
      </c>
      <c r="HE94" t="e">
        <f>AND(#REF!,"AAAAAHJ78tQ=")</f>
        <v>#REF!</v>
      </c>
      <c r="HF94" t="e">
        <f>AND(#REF!,"AAAAAHJ78tU=")</f>
        <v>#REF!</v>
      </c>
      <c r="HG94" t="e">
        <f>AND(#REF!,"AAAAAHJ78tY=")</f>
        <v>#REF!</v>
      </c>
      <c r="HH94" t="e">
        <f>AND(#REF!,"AAAAAHJ78tc=")</f>
        <v>#REF!</v>
      </c>
      <c r="HI94" t="e">
        <f>AND(#REF!,"AAAAAHJ78tg=")</f>
        <v>#REF!</v>
      </c>
      <c r="HJ94" t="e">
        <f>AND(#REF!,"AAAAAHJ78tk=")</f>
        <v>#REF!</v>
      </c>
      <c r="HK94" t="e">
        <f>AND(#REF!,"AAAAAHJ78to=")</f>
        <v>#REF!</v>
      </c>
      <c r="HL94" t="e">
        <f>AND(#REF!,"AAAAAHJ78ts=")</f>
        <v>#REF!</v>
      </c>
      <c r="HM94" t="e">
        <f>AND(#REF!,"AAAAAHJ78tw=")</f>
        <v>#REF!</v>
      </c>
      <c r="HN94" t="e">
        <f>AND(#REF!,"AAAAAHJ78t0=")</f>
        <v>#REF!</v>
      </c>
      <c r="HO94" t="e">
        <f>AND(#REF!,"AAAAAHJ78t4=")</f>
        <v>#REF!</v>
      </c>
      <c r="HP94" t="e">
        <f>AND(#REF!,"AAAAAHJ78t8=")</f>
        <v>#REF!</v>
      </c>
      <c r="HQ94" t="e">
        <f>AND(#REF!,"AAAAAHJ78uA=")</f>
        <v>#REF!</v>
      </c>
      <c r="HR94" t="e">
        <f>AND(#REF!,"AAAAAHJ78uE=")</f>
        <v>#REF!</v>
      </c>
      <c r="HS94" t="e">
        <f>AND(#REF!,"AAAAAHJ78uI=")</f>
        <v>#REF!</v>
      </c>
      <c r="HT94" t="e">
        <f>AND(#REF!,"AAAAAHJ78uM=")</f>
        <v>#REF!</v>
      </c>
      <c r="HU94" t="e">
        <f>AND(#REF!,"AAAAAHJ78uQ=")</f>
        <v>#REF!</v>
      </c>
      <c r="HV94" t="e">
        <f>AND(#REF!,"AAAAAHJ78uU=")</f>
        <v>#REF!</v>
      </c>
      <c r="HW94" t="e">
        <f>AND(#REF!,"AAAAAHJ78uY=")</f>
        <v>#REF!</v>
      </c>
      <c r="HX94" t="e">
        <f>AND(#REF!,"AAAAAHJ78uc=")</f>
        <v>#REF!</v>
      </c>
      <c r="HY94" t="e">
        <f>AND(#REF!,"AAAAAHJ78ug=")</f>
        <v>#REF!</v>
      </c>
      <c r="HZ94" t="e">
        <f>AND(#REF!,"AAAAAHJ78uk=")</f>
        <v>#REF!</v>
      </c>
      <c r="IA94" t="e">
        <f>IF(#REF!,"AAAAAHJ78uo=",0)</f>
        <v>#REF!</v>
      </c>
      <c r="IB94" t="e">
        <f>AND(#REF!,"AAAAAHJ78us=")</f>
        <v>#REF!</v>
      </c>
      <c r="IC94" t="e">
        <f>AND(#REF!,"AAAAAHJ78uw=")</f>
        <v>#REF!</v>
      </c>
      <c r="ID94" t="e">
        <f>AND(#REF!,"AAAAAHJ78u0=")</f>
        <v>#REF!</v>
      </c>
      <c r="IE94" t="e">
        <f>AND(#REF!,"AAAAAHJ78u4=")</f>
        <v>#REF!</v>
      </c>
      <c r="IF94" t="e">
        <f>AND(#REF!,"AAAAAHJ78u8=")</f>
        <v>#REF!</v>
      </c>
      <c r="IG94" t="e">
        <f>AND(#REF!,"AAAAAHJ78vA=")</f>
        <v>#REF!</v>
      </c>
      <c r="IH94" t="e">
        <f>AND(#REF!,"AAAAAHJ78vE=")</f>
        <v>#REF!</v>
      </c>
      <c r="II94" t="e">
        <f>AND(#REF!,"AAAAAHJ78vI=")</f>
        <v>#REF!</v>
      </c>
      <c r="IJ94" t="e">
        <f>AND(#REF!,"AAAAAHJ78vM=")</f>
        <v>#REF!</v>
      </c>
      <c r="IK94" t="e">
        <f>AND(#REF!,"AAAAAHJ78vQ=")</f>
        <v>#REF!</v>
      </c>
      <c r="IL94" t="e">
        <f>AND(#REF!,"AAAAAHJ78vU=")</f>
        <v>#REF!</v>
      </c>
      <c r="IM94" t="e">
        <f>AND(#REF!,"AAAAAHJ78vY=")</f>
        <v>#REF!</v>
      </c>
      <c r="IN94" t="e">
        <f>AND(#REF!,"AAAAAHJ78vc=")</f>
        <v>#REF!</v>
      </c>
      <c r="IO94" t="e">
        <f>AND(#REF!,"AAAAAHJ78vg=")</f>
        <v>#REF!</v>
      </c>
      <c r="IP94" t="e">
        <f>AND(#REF!,"AAAAAHJ78vk=")</f>
        <v>#REF!</v>
      </c>
      <c r="IQ94" t="e">
        <f>AND(#REF!,"AAAAAHJ78vo=")</f>
        <v>#REF!</v>
      </c>
      <c r="IR94" t="e">
        <f>AND(#REF!,"AAAAAHJ78vs=")</f>
        <v>#REF!</v>
      </c>
      <c r="IS94" t="e">
        <f>AND(#REF!,"AAAAAHJ78vw=")</f>
        <v>#REF!</v>
      </c>
      <c r="IT94" t="e">
        <f>AND(#REF!,"AAAAAHJ78v0=")</f>
        <v>#REF!</v>
      </c>
      <c r="IU94" t="e">
        <f>AND(#REF!,"AAAAAHJ78v4=")</f>
        <v>#REF!</v>
      </c>
      <c r="IV94" t="e">
        <f>AND(#REF!,"AAAAAHJ78v8=")</f>
        <v>#REF!</v>
      </c>
    </row>
    <row r="95" spans="1:256" x14ac:dyDescent="0.2">
      <c r="A95" t="e">
        <f>AND(#REF!,"AAAAAHf/6gA=")</f>
        <v>#REF!</v>
      </c>
      <c r="B95" t="e">
        <f>AND(#REF!,"AAAAAHf/6gE=")</f>
        <v>#REF!</v>
      </c>
      <c r="C95" t="e">
        <f>AND(#REF!,"AAAAAHf/6gI=")</f>
        <v>#REF!</v>
      </c>
      <c r="D95" t="e">
        <f>AND(#REF!,"AAAAAHf/6gM=")</f>
        <v>#REF!</v>
      </c>
      <c r="E95" t="e">
        <f>AND(#REF!,"AAAAAHf/6gQ=")</f>
        <v>#REF!</v>
      </c>
      <c r="F95" t="e">
        <f>IF(#REF!,"AAAAAHf/6gU=",0)</f>
        <v>#REF!</v>
      </c>
      <c r="G95" t="e">
        <f>AND(#REF!,"AAAAAHf/6gY=")</f>
        <v>#REF!</v>
      </c>
      <c r="H95" t="e">
        <f>AND(#REF!,"AAAAAHf/6gc=")</f>
        <v>#REF!</v>
      </c>
      <c r="I95" t="e">
        <f>AND(#REF!,"AAAAAHf/6gg=")</f>
        <v>#REF!</v>
      </c>
      <c r="J95" t="e">
        <f>AND(#REF!,"AAAAAHf/6gk=")</f>
        <v>#REF!</v>
      </c>
      <c r="K95" t="e">
        <f>AND(#REF!,"AAAAAHf/6go=")</f>
        <v>#REF!</v>
      </c>
      <c r="L95" t="e">
        <f>AND(#REF!,"AAAAAHf/6gs=")</f>
        <v>#REF!</v>
      </c>
      <c r="M95" t="e">
        <f>AND(#REF!,"AAAAAHf/6gw=")</f>
        <v>#REF!</v>
      </c>
      <c r="N95" t="e">
        <f>AND(#REF!,"AAAAAHf/6g0=")</f>
        <v>#REF!</v>
      </c>
      <c r="O95" t="e">
        <f>AND(#REF!,"AAAAAHf/6g4=")</f>
        <v>#REF!</v>
      </c>
      <c r="P95" t="e">
        <f>AND(#REF!,"AAAAAHf/6g8=")</f>
        <v>#REF!</v>
      </c>
      <c r="Q95" t="e">
        <f>AND(#REF!,"AAAAAHf/6hA=")</f>
        <v>#REF!</v>
      </c>
      <c r="R95" t="e">
        <f>AND(#REF!,"AAAAAHf/6hE=")</f>
        <v>#REF!</v>
      </c>
      <c r="S95" t="e">
        <f>AND(#REF!,"AAAAAHf/6hI=")</f>
        <v>#REF!</v>
      </c>
      <c r="T95" t="e">
        <f>AND(#REF!,"AAAAAHf/6hM=")</f>
        <v>#REF!</v>
      </c>
      <c r="U95" t="e">
        <f>AND(#REF!,"AAAAAHf/6hQ=")</f>
        <v>#REF!</v>
      </c>
      <c r="V95" t="e">
        <f>AND(#REF!,"AAAAAHf/6hU=")</f>
        <v>#REF!</v>
      </c>
      <c r="W95" t="e">
        <f>AND(#REF!,"AAAAAHf/6hY=")</f>
        <v>#REF!</v>
      </c>
      <c r="X95" t="e">
        <f>AND(#REF!,"AAAAAHf/6hc=")</f>
        <v>#REF!</v>
      </c>
      <c r="Y95" t="e">
        <f>AND(#REF!,"AAAAAHf/6hg=")</f>
        <v>#REF!</v>
      </c>
      <c r="Z95" t="e">
        <f>AND(#REF!,"AAAAAHf/6hk=")</f>
        <v>#REF!</v>
      </c>
      <c r="AA95" t="e">
        <f>AND(#REF!,"AAAAAHf/6ho=")</f>
        <v>#REF!</v>
      </c>
      <c r="AB95" t="e">
        <f>AND(#REF!,"AAAAAHf/6hs=")</f>
        <v>#REF!</v>
      </c>
      <c r="AC95" t="e">
        <f>AND(#REF!,"AAAAAHf/6hw=")</f>
        <v>#REF!</v>
      </c>
      <c r="AD95" t="e">
        <f>AND(#REF!,"AAAAAHf/6h0=")</f>
        <v>#REF!</v>
      </c>
      <c r="AE95" t="e">
        <f>AND(#REF!,"AAAAAHf/6h4=")</f>
        <v>#REF!</v>
      </c>
      <c r="AF95" t="e">
        <f>AND(#REF!,"AAAAAHf/6h8=")</f>
        <v>#REF!</v>
      </c>
      <c r="AG95" t="e">
        <f>IF(#REF!,"AAAAAHf/6iA=",0)</f>
        <v>#REF!</v>
      </c>
      <c r="AH95" t="e">
        <f>AND(#REF!,"AAAAAHf/6iE=")</f>
        <v>#REF!</v>
      </c>
      <c r="AI95" t="e">
        <f>AND(#REF!,"AAAAAHf/6iI=")</f>
        <v>#REF!</v>
      </c>
      <c r="AJ95" t="e">
        <f>AND(#REF!,"AAAAAHf/6iM=")</f>
        <v>#REF!</v>
      </c>
      <c r="AK95" t="e">
        <f>AND(#REF!,"AAAAAHf/6iQ=")</f>
        <v>#REF!</v>
      </c>
      <c r="AL95" t="e">
        <f>AND(#REF!,"AAAAAHf/6iU=")</f>
        <v>#REF!</v>
      </c>
      <c r="AM95" t="e">
        <f>AND(#REF!,"AAAAAHf/6iY=")</f>
        <v>#REF!</v>
      </c>
      <c r="AN95" t="e">
        <f>AND(#REF!,"AAAAAHf/6ic=")</f>
        <v>#REF!</v>
      </c>
      <c r="AO95" t="e">
        <f>AND(#REF!,"AAAAAHf/6ig=")</f>
        <v>#REF!</v>
      </c>
      <c r="AP95" t="e">
        <f>AND(#REF!,"AAAAAHf/6ik=")</f>
        <v>#REF!</v>
      </c>
      <c r="AQ95" t="e">
        <f>AND(#REF!,"AAAAAHf/6io=")</f>
        <v>#REF!</v>
      </c>
      <c r="AR95" t="e">
        <f>AND(#REF!,"AAAAAHf/6is=")</f>
        <v>#REF!</v>
      </c>
      <c r="AS95" t="e">
        <f>AND(#REF!,"AAAAAHf/6iw=")</f>
        <v>#REF!</v>
      </c>
      <c r="AT95" t="e">
        <f>AND(#REF!,"AAAAAHf/6i0=")</f>
        <v>#REF!</v>
      </c>
      <c r="AU95" t="e">
        <f>AND(#REF!,"AAAAAHf/6i4=")</f>
        <v>#REF!</v>
      </c>
      <c r="AV95" t="e">
        <f>AND(#REF!,"AAAAAHf/6i8=")</f>
        <v>#REF!</v>
      </c>
      <c r="AW95" t="e">
        <f>AND(#REF!,"AAAAAHf/6jA=")</f>
        <v>#REF!</v>
      </c>
      <c r="AX95" t="e">
        <f>AND(#REF!,"AAAAAHf/6jE=")</f>
        <v>#REF!</v>
      </c>
      <c r="AY95" t="e">
        <f>AND(#REF!,"AAAAAHf/6jI=")</f>
        <v>#REF!</v>
      </c>
      <c r="AZ95" t="e">
        <f>AND(#REF!,"AAAAAHf/6jM=")</f>
        <v>#REF!</v>
      </c>
      <c r="BA95" t="e">
        <f>AND(#REF!,"AAAAAHf/6jQ=")</f>
        <v>#REF!</v>
      </c>
      <c r="BB95" t="e">
        <f>AND(#REF!,"AAAAAHf/6jU=")</f>
        <v>#REF!</v>
      </c>
      <c r="BC95" t="e">
        <f>AND(#REF!,"AAAAAHf/6jY=")</f>
        <v>#REF!</v>
      </c>
      <c r="BD95" t="e">
        <f>AND(#REF!,"AAAAAHf/6jc=")</f>
        <v>#REF!</v>
      </c>
      <c r="BE95" t="e">
        <f>AND(#REF!,"AAAAAHf/6jg=")</f>
        <v>#REF!</v>
      </c>
      <c r="BF95" t="e">
        <f>AND(#REF!,"AAAAAHf/6jk=")</f>
        <v>#REF!</v>
      </c>
      <c r="BG95" t="e">
        <f>AND(#REF!,"AAAAAHf/6jo=")</f>
        <v>#REF!</v>
      </c>
      <c r="BH95" t="e">
        <f>IF(#REF!,"AAAAAHf/6js=",0)</f>
        <v>#REF!</v>
      </c>
      <c r="BI95" t="e">
        <f>AND(#REF!,"AAAAAHf/6jw=")</f>
        <v>#REF!</v>
      </c>
      <c r="BJ95" t="e">
        <f>AND(#REF!,"AAAAAHf/6j0=")</f>
        <v>#REF!</v>
      </c>
      <c r="BK95" t="e">
        <f>AND(#REF!,"AAAAAHf/6j4=")</f>
        <v>#REF!</v>
      </c>
      <c r="BL95" t="e">
        <f>AND(#REF!,"AAAAAHf/6j8=")</f>
        <v>#REF!</v>
      </c>
      <c r="BM95" t="e">
        <f>AND(#REF!,"AAAAAHf/6kA=")</f>
        <v>#REF!</v>
      </c>
      <c r="BN95" t="e">
        <f>AND(#REF!,"AAAAAHf/6kE=")</f>
        <v>#REF!</v>
      </c>
      <c r="BO95" t="e">
        <f>AND(#REF!,"AAAAAHf/6kI=")</f>
        <v>#REF!</v>
      </c>
      <c r="BP95" t="e">
        <f>AND(#REF!,"AAAAAHf/6kM=")</f>
        <v>#REF!</v>
      </c>
      <c r="BQ95" t="e">
        <f>AND(#REF!,"AAAAAHf/6kQ=")</f>
        <v>#REF!</v>
      </c>
      <c r="BR95" t="e">
        <f>AND(#REF!,"AAAAAHf/6kU=")</f>
        <v>#REF!</v>
      </c>
      <c r="BS95" t="e">
        <f>AND(#REF!,"AAAAAHf/6kY=")</f>
        <v>#REF!</v>
      </c>
      <c r="BT95" t="e">
        <f>AND(#REF!,"AAAAAHf/6kc=")</f>
        <v>#REF!</v>
      </c>
      <c r="BU95" t="e">
        <f>AND(#REF!,"AAAAAHf/6kg=")</f>
        <v>#REF!</v>
      </c>
      <c r="BV95" t="e">
        <f>AND(#REF!,"AAAAAHf/6kk=")</f>
        <v>#REF!</v>
      </c>
      <c r="BW95" t="e">
        <f>AND(#REF!,"AAAAAHf/6ko=")</f>
        <v>#REF!</v>
      </c>
      <c r="BX95" t="e">
        <f>AND(#REF!,"AAAAAHf/6ks=")</f>
        <v>#REF!</v>
      </c>
      <c r="BY95" t="e">
        <f>AND(#REF!,"AAAAAHf/6kw=")</f>
        <v>#REF!</v>
      </c>
      <c r="BZ95" t="e">
        <f>AND(#REF!,"AAAAAHf/6k0=")</f>
        <v>#REF!</v>
      </c>
      <c r="CA95" t="e">
        <f>AND(#REF!,"AAAAAHf/6k4=")</f>
        <v>#REF!</v>
      </c>
      <c r="CB95" t="e">
        <f>AND(#REF!,"AAAAAHf/6k8=")</f>
        <v>#REF!</v>
      </c>
      <c r="CC95" t="e">
        <f>AND(#REF!,"AAAAAHf/6lA=")</f>
        <v>#REF!</v>
      </c>
      <c r="CD95" t="e">
        <f>AND(#REF!,"AAAAAHf/6lE=")</f>
        <v>#REF!</v>
      </c>
      <c r="CE95" t="e">
        <f>AND(#REF!,"AAAAAHf/6lI=")</f>
        <v>#REF!</v>
      </c>
      <c r="CF95" t="e">
        <f>AND(#REF!,"AAAAAHf/6lM=")</f>
        <v>#REF!</v>
      </c>
      <c r="CG95" t="e">
        <f>AND(#REF!,"AAAAAHf/6lQ=")</f>
        <v>#REF!</v>
      </c>
      <c r="CH95" t="e">
        <f>AND(#REF!,"AAAAAHf/6lU=")</f>
        <v>#REF!</v>
      </c>
      <c r="CI95" t="e">
        <f>IF(#REF!,"AAAAAHf/6lY=",0)</f>
        <v>#REF!</v>
      </c>
      <c r="CJ95" t="e">
        <f>AND(#REF!,"AAAAAHf/6lc=")</f>
        <v>#REF!</v>
      </c>
      <c r="CK95" t="e">
        <f>AND(#REF!,"AAAAAHf/6lg=")</f>
        <v>#REF!</v>
      </c>
      <c r="CL95" t="e">
        <f>AND(#REF!,"AAAAAHf/6lk=")</f>
        <v>#REF!</v>
      </c>
      <c r="CM95" t="e">
        <f>AND(#REF!,"AAAAAHf/6lo=")</f>
        <v>#REF!</v>
      </c>
      <c r="CN95" t="e">
        <f>AND(#REF!,"AAAAAHf/6ls=")</f>
        <v>#REF!</v>
      </c>
      <c r="CO95" t="e">
        <f>AND(#REF!,"AAAAAHf/6lw=")</f>
        <v>#REF!</v>
      </c>
      <c r="CP95" t="e">
        <f>AND(#REF!,"AAAAAHf/6l0=")</f>
        <v>#REF!</v>
      </c>
      <c r="CQ95" t="e">
        <f>AND(#REF!,"AAAAAHf/6l4=")</f>
        <v>#REF!</v>
      </c>
      <c r="CR95" t="e">
        <f>AND(#REF!,"AAAAAHf/6l8=")</f>
        <v>#REF!</v>
      </c>
      <c r="CS95" t="e">
        <f>AND(#REF!,"AAAAAHf/6mA=")</f>
        <v>#REF!</v>
      </c>
      <c r="CT95" t="e">
        <f>AND(#REF!,"AAAAAHf/6mE=")</f>
        <v>#REF!</v>
      </c>
      <c r="CU95" t="e">
        <f>AND(#REF!,"AAAAAHf/6mI=")</f>
        <v>#REF!</v>
      </c>
      <c r="CV95" t="e">
        <f>AND(#REF!,"AAAAAHf/6mM=")</f>
        <v>#REF!</v>
      </c>
      <c r="CW95" t="e">
        <f>AND(#REF!,"AAAAAHf/6mQ=")</f>
        <v>#REF!</v>
      </c>
      <c r="CX95" t="e">
        <f>AND(#REF!,"AAAAAHf/6mU=")</f>
        <v>#REF!</v>
      </c>
      <c r="CY95" t="e">
        <f>AND(#REF!,"AAAAAHf/6mY=")</f>
        <v>#REF!</v>
      </c>
      <c r="CZ95" t="e">
        <f>AND(#REF!,"AAAAAHf/6mc=")</f>
        <v>#REF!</v>
      </c>
      <c r="DA95" t="e">
        <f>AND(#REF!,"AAAAAHf/6mg=")</f>
        <v>#REF!</v>
      </c>
      <c r="DB95" t="e">
        <f>AND(#REF!,"AAAAAHf/6mk=")</f>
        <v>#REF!</v>
      </c>
      <c r="DC95" t="e">
        <f>AND(#REF!,"AAAAAHf/6mo=")</f>
        <v>#REF!</v>
      </c>
      <c r="DD95" t="e">
        <f>AND(#REF!,"AAAAAHf/6ms=")</f>
        <v>#REF!</v>
      </c>
      <c r="DE95" t="e">
        <f>AND(#REF!,"AAAAAHf/6mw=")</f>
        <v>#REF!</v>
      </c>
      <c r="DF95" t="e">
        <f>AND(#REF!,"AAAAAHf/6m0=")</f>
        <v>#REF!</v>
      </c>
      <c r="DG95" t="e">
        <f>AND(#REF!,"AAAAAHf/6m4=")</f>
        <v>#REF!</v>
      </c>
      <c r="DH95" t="e">
        <f>AND(#REF!,"AAAAAHf/6m8=")</f>
        <v>#REF!</v>
      </c>
      <c r="DI95" t="e">
        <f>AND(#REF!,"AAAAAHf/6nA=")</f>
        <v>#REF!</v>
      </c>
      <c r="DJ95" t="e">
        <f>IF(#REF!,"AAAAAHf/6nE=",0)</f>
        <v>#REF!</v>
      </c>
      <c r="DK95" t="e">
        <f>AND(#REF!,"AAAAAHf/6nI=")</f>
        <v>#REF!</v>
      </c>
      <c r="DL95" t="e">
        <f>AND(#REF!,"AAAAAHf/6nM=")</f>
        <v>#REF!</v>
      </c>
      <c r="DM95" t="e">
        <f>AND(#REF!,"AAAAAHf/6nQ=")</f>
        <v>#REF!</v>
      </c>
      <c r="DN95" t="e">
        <f>AND(#REF!,"AAAAAHf/6nU=")</f>
        <v>#REF!</v>
      </c>
      <c r="DO95" t="e">
        <f>AND(#REF!,"AAAAAHf/6nY=")</f>
        <v>#REF!</v>
      </c>
      <c r="DP95" t="e">
        <f>AND(#REF!,"AAAAAHf/6nc=")</f>
        <v>#REF!</v>
      </c>
      <c r="DQ95" t="e">
        <f>AND(#REF!,"AAAAAHf/6ng=")</f>
        <v>#REF!</v>
      </c>
      <c r="DR95" t="e">
        <f>AND(#REF!,"AAAAAHf/6nk=")</f>
        <v>#REF!</v>
      </c>
      <c r="DS95" t="e">
        <f>AND(#REF!,"AAAAAHf/6no=")</f>
        <v>#REF!</v>
      </c>
      <c r="DT95" t="e">
        <f>AND(#REF!,"AAAAAHf/6ns=")</f>
        <v>#REF!</v>
      </c>
      <c r="DU95" t="e">
        <f>AND(#REF!,"AAAAAHf/6nw=")</f>
        <v>#REF!</v>
      </c>
      <c r="DV95" t="e">
        <f>AND(#REF!,"AAAAAHf/6n0=")</f>
        <v>#REF!</v>
      </c>
      <c r="DW95" t="e">
        <f>AND(#REF!,"AAAAAHf/6n4=")</f>
        <v>#REF!</v>
      </c>
      <c r="DX95" t="e">
        <f>AND(#REF!,"AAAAAHf/6n8=")</f>
        <v>#REF!</v>
      </c>
      <c r="DY95" t="e">
        <f>AND(#REF!,"AAAAAHf/6oA=")</f>
        <v>#REF!</v>
      </c>
      <c r="DZ95" t="e">
        <f>AND(#REF!,"AAAAAHf/6oE=")</f>
        <v>#REF!</v>
      </c>
      <c r="EA95" t="e">
        <f>AND(#REF!,"AAAAAHf/6oI=")</f>
        <v>#REF!</v>
      </c>
      <c r="EB95" t="e">
        <f>AND(#REF!,"AAAAAHf/6oM=")</f>
        <v>#REF!</v>
      </c>
      <c r="EC95" t="e">
        <f>AND(#REF!,"AAAAAHf/6oQ=")</f>
        <v>#REF!</v>
      </c>
      <c r="ED95" t="e">
        <f>AND(#REF!,"AAAAAHf/6oU=")</f>
        <v>#REF!</v>
      </c>
      <c r="EE95" t="e">
        <f>AND(#REF!,"AAAAAHf/6oY=")</f>
        <v>#REF!</v>
      </c>
      <c r="EF95" t="e">
        <f>AND(#REF!,"AAAAAHf/6oc=")</f>
        <v>#REF!</v>
      </c>
      <c r="EG95" t="e">
        <f>AND(#REF!,"AAAAAHf/6og=")</f>
        <v>#REF!</v>
      </c>
      <c r="EH95" t="e">
        <f>AND(#REF!,"AAAAAHf/6ok=")</f>
        <v>#REF!</v>
      </c>
      <c r="EI95" t="e">
        <f>AND(#REF!,"AAAAAHf/6oo=")</f>
        <v>#REF!</v>
      </c>
      <c r="EJ95" t="e">
        <f>AND(#REF!,"AAAAAHf/6os=")</f>
        <v>#REF!</v>
      </c>
      <c r="EK95" t="e">
        <f>IF(#REF!,"AAAAAHf/6ow=",0)</f>
        <v>#REF!</v>
      </c>
      <c r="EL95" t="e">
        <f>AND(#REF!,"AAAAAHf/6o0=")</f>
        <v>#REF!</v>
      </c>
      <c r="EM95" t="e">
        <f>AND(#REF!,"AAAAAHf/6o4=")</f>
        <v>#REF!</v>
      </c>
      <c r="EN95" t="e">
        <f>AND(#REF!,"AAAAAHf/6o8=")</f>
        <v>#REF!</v>
      </c>
      <c r="EO95" t="e">
        <f>AND(#REF!,"AAAAAHf/6pA=")</f>
        <v>#REF!</v>
      </c>
      <c r="EP95" t="e">
        <f>AND(#REF!,"AAAAAHf/6pE=")</f>
        <v>#REF!</v>
      </c>
      <c r="EQ95" t="e">
        <f>AND(#REF!,"AAAAAHf/6pI=")</f>
        <v>#REF!</v>
      </c>
      <c r="ER95" t="e">
        <f>AND(#REF!,"AAAAAHf/6pM=")</f>
        <v>#REF!</v>
      </c>
      <c r="ES95" t="e">
        <f>AND(#REF!,"AAAAAHf/6pQ=")</f>
        <v>#REF!</v>
      </c>
      <c r="ET95" t="e">
        <f>AND(#REF!,"AAAAAHf/6pU=")</f>
        <v>#REF!</v>
      </c>
      <c r="EU95" t="e">
        <f>AND(#REF!,"AAAAAHf/6pY=")</f>
        <v>#REF!</v>
      </c>
      <c r="EV95" t="e">
        <f>AND(#REF!,"AAAAAHf/6pc=")</f>
        <v>#REF!</v>
      </c>
      <c r="EW95" t="e">
        <f>AND(#REF!,"AAAAAHf/6pg=")</f>
        <v>#REF!</v>
      </c>
      <c r="EX95" t="e">
        <f>AND(#REF!,"AAAAAHf/6pk=")</f>
        <v>#REF!</v>
      </c>
      <c r="EY95" t="e">
        <f>AND(#REF!,"AAAAAHf/6po=")</f>
        <v>#REF!</v>
      </c>
      <c r="EZ95" t="e">
        <f>AND(#REF!,"AAAAAHf/6ps=")</f>
        <v>#REF!</v>
      </c>
      <c r="FA95" t="e">
        <f>AND(#REF!,"AAAAAHf/6pw=")</f>
        <v>#REF!</v>
      </c>
      <c r="FB95" t="e">
        <f>AND(#REF!,"AAAAAHf/6p0=")</f>
        <v>#REF!</v>
      </c>
      <c r="FC95" t="e">
        <f>AND(#REF!,"AAAAAHf/6p4=")</f>
        <v>#REF!</v>
      </c>
      <c r="FD95" t="e">
        <f>AND(#REF!,"AAAAAHf/6p8=")</f>
        <v>#REF!</v>
      </c>
      <c r="FE95" t="e">
        <f>AND(#REF!,"AAAAAHf/6qA=")</f>
        <v>#REF!</v>
      </c>
      <c r="FF95" t="e">
        <f>AND(#REF!,"AAAAAHf/6qE=")</f>
        <v>#REF!</v>
      </c>
      <c r="FG95" t="e">
        <f>AND(#REF!,"AAAAAHf/6qI=")</f>
        <v>#REF!</v>
      </c>
      <c r="FH95" t="e">
        <f>AND(#REF!,"AAAAAHf/6qM=")</f>
        <v>#REF!</v>
      </c>
      <c r="FI95" t="e">
        <f>AND(#REF!,"AAAAAHf/6qQ=")</f>
        <v>#REF!</v>
      </c>
      <c r="FJ95" t="e">
        <f>AND(#REF!,"AAAAAHf/6qU=")</f>
        <v>#REF!</v>
      </c>
      <c r="FK95" t="e">
        <f>AND(#REF!,"AAAAAHf/6qY=")</f>
        <v>#REF!</v>
      </c>
      <c r="FL95" t="e">
        <f>IF(#REF!,"AAAAAHf/6qc=",0)</f>
        <v>#REF!</v>
      </c>
      <c r="FM95" t="e">
        <f>AND(#REF!,"AAAAAHf/6qg=")</f>
        <v>#REF!</v>
      </c>
      <c r="FN95" t="e">
        <f>AND(#REF!,"AAAAAHf/6qk=")</f>
        <v>#REF!</v>
      </c>
      <c r="FO95" t="e">
        <f>AND(#REF!,"AAAAAHf/6qo=")</f>
        <v>#REF!</v>
      </c>
      <c r="FP95" t="e">
        <f>AND(#REF!,"AAAAAHf/6qs=")</f>
        <v>#REF!</v>
      </c>
      <c r="FQ95" t="e">
        <f>AND(#REF!,"AAAAAHf/6qw=")</f>
        <v>#REF!</v>
      </c>
      <c r="FR95" t="e">
        <f>AND(#REF!,"AAAAAHf/6q0=")</f>
        <v>#REF!</v>
      </c>
      <c r="FS95" t="e">
        <f>AND(#REF!,"AAAAAHf/6q4=")</f>
        <v>#REF!</v>
      </c>
      <c r="FT95" t="e">
        <f>AND(#REF!,"AAAAAHf/6q8=")</f>
        <v>#REF!</v>
      </c>
      <c r="FU95" t="e">
        <f>AND(#REF!,"AAAAAHf/6rA=")</f>
        <v>#REF!</v>
      </c>
      <c r="FV95" t="e">
        <f>AND(#REF!,"AAAAAHf/6rE=")</f>
        <v>#REF!</v>
      </c>
      <c r="FW95" t="e">
        <f>AND(#REF!,"AAAAAHf/6rI=")</f>
        <v>#REF!</v>
      </c>
      <c r="FX95" t="e">
        <f>AND(#REF!,"AAAAAHf/6rM=")</f>
        <v>#REF!</v>
      </c>
      <c r="FY95" t="e">
        <f>AND(#REF!,"AAAAAHf/6rQ=")</f>
        <v>#REF!</v>
      </c>
      <c r="FZ95" t="e">
        <f>AND(#REF!,"AAAAAHf/6rU=")</f>
        <v>#REF!</v>
      </c>
      <c r="GA95" t="e">
        <f>AND(#REF!,"AAAAAHf/6rY=")</f>
        <v>#REF!</v>
      </c>
      <c r="GB95" t="e">
        <f>AND(#REF!,"AAAAAHf/6rc=")</f>
        <v>#REF!</v>
      </c>
      <c r="GC95" t="e">
        <f>AND(#REF!,"AAAAAHf/6rg=")</f>
        <v>#REF!</v>
      </c>
      <c r="GD95" t="e">
        <f>AND(#REF!,"AAAAAHf/6rk=")</f>
        <v>#REF!</v>
      </c>
      <c r="GE95" t="e">
        <f>AND(#REF!,"AAAAAHf/6ro=")</f>
        <v>#REF!</v>
      </c>
      <c r="GF95" t="e">
        <f>AND(#REF!,"AAAAAHf/6rs=")</f>
        <v>#REF!</v>
      </c>
      <c r="GG95" t="e">
        <f>AND(#REF!,"AAAAAHf/6rw=")</f>
        <v>#REF!</v>
      </c>
      <c r="GH95" t="e">
        <f>AND(#REF!,"AAAAAHf/6r0=")</f>
        <v>#REF!</v>
      </c>
      <c r="GI95" t="e">
        <f>AND(#REF!,"AAAAAHf/6r4=")</f>
        <v>#REF!</v>
      </c>
      <c r="GJ95" t="e">
        <f>AND(#REF!,"AAAAAHf/6r8=")</f>
        <v>#REF!</v>
      </c>
      <c r="GK95" t="e">
        <f>AND(#REF!,"AAAAAHf/6sA=")</f>
        <v>#REF!</v>
      </c>
      <c r="GL95" t="e">
        <f>AND(#REF!,"AAAAAHf/6sE=")</f>
        <v>#REF!</v>
      </c>
      <c r="GM95" t="e">
        <f>IF(#REF!,"AAAAAHf/6sI=",0)</f>
        <v>#REF!</v>
      </c>
      <c r="GN95" t="e">
        <f>AND(#REF!,"AAAAAHf/6sM=")</f>
        <v>#REF!</v>
      </c>
      <c r="GO95" t="e">
        <f>AND(#REF!,"AAAAAHf/6sQ=")</f>
        <v>#REF!</v>
      </c>
      <c r="GP95" t="e">
        <f>AND(#REF!,"AAAAAHf/6sU=")</f>
        <v>#REF!</v>
      </c>
      <c r="GQ95" t="e">
        <f>AND(#REF!,"AAAAAHf/6sY=")</f>
        <v>#REF!</v>
      </c>
      <c r="GR95" t="e">
        <f>AND(#REF!,"AAAAAHf/6sc=")</f>
        <v>#REF!</v>
      </c>
      <c r="GS95" t="e">
        <f>AND(#REF!,"AAAAAHf/6sg=")</f>
        <v>#REF!</v>
      </c>
      <c r="GT95" t="e">
        <f>AND(#REF!,"AAAAAHf/6sk=")</f>
        <v>#REF!</v>
      </c>
      <c r="GU95" t="e">
        <f>AND(#REF!,"AAAAAHf/6so=")</f>
        <v>#REF!</v>
      </c>
      <c r="GV95" t="e">
        <f>AND(#REF!,"AAAAAHf/6ss=")</f>
        <v>#REF!</v>
      </c>
      <c r="GW95" t="e">
        <f>AND(#REF!,"AAAAAHf/6sw=")</f>
        <v>#REF!</v>
      </c>
      <c r="GX95" t="e">
        <f>AND(#REF!,"AAAAAHf/6s0=")</f>
        <v>#REF!</v>
      </c>
      <c r="GY95" t="e">
        <f>AND(#REF!,"AAAAAHf/6s4=")</f>
        <v>#REF!</v>
      </c>
      <c r="GZ95" t="e">
        <f>AND(#REF!,"AAAAAHf/6s8=")</f>
        <v>#REF!</v>
      </c>
      <c r="HA95" t="e">
        <f>AND(#REF!,"AAAAAHf/6tA=")</f>
        <v>#REF!</v>
      </c>
      <c r="HB95" t="e">
        <f>AND(#REF!,"AAAAAHf/6tE=")</f>
        <v>#REF!</v>
      </c>
      <c r="HC95" t="e">
        <f>AND(#REF!,"AAAAAHf/6tI=")</f>
        <v>#REF!</v>
      </c>
      <c r="HD95" t="e">
        <f>AND(#REF!,"AAAAAHf/6tM=")</f>
        <v>#REF!</v>
      </c>
      <c r="HE95" t="e">
        <f>AND(#REF!,"AAAAAHf/6tQ=")</f>
        <v>#REF!</v>
      </c>
      <c r="HF95" t="e">
        <f>AND(#REF!,"AAAAAHf/6tU=")</f>
        <v>#REF!</v>
      </c>
      <c r="HG95" t="e">
        <f>AND(#REF!,"AAAAAHf/6tY=")</f>
        <v>#REF!</v>
      </c>
      <c r="HH95" t="e">
        <f>AND(#REF!,"AAAAAHf/6tc=")</f>
        <v>#REF!</v>
      </c>
      <c r="HI95" t="e">
        <f>AND(#REF!,"AAAAAHf/6tg=")</f>
        <v>#REF!</v>
      </c>
      <c r="HJ95" t="e">
        <f>AND(#REF!,"AAAAAHf/6tk=")</f>
        <v>#REF!</v>
      </c>
      <c r="HK95" t="e">
        <f>AND(#REF!,"AAAAAHf/6to=")</f>
        <v>#REF!</v>
      </c>
      <c r="HL95" t="e">
        <f>AND(#REF!,"AAAAAHf/6ts=")</f>
        <v>#REF!</v>
      </c>
      <c r="HM95" t="e">
        <f>AND(#REF!,"AAAAAHf/6tw=")</f>
        <v>#REF!</v>
      </c>
      <c r="HN95" t="e">
        <f>IF(#REF!,"AAAAAHf/6t0=",0)</f>
        <v>#REF!</v>
      </c>
      <c r="HO95" t="e">
        <f>AND(#REF!,"AAAAAHf/6t4=")</f>
        <v>#REF!</v>
      </c>
      <c r="HP95" t="e">
        <f>AND(#REF!,"AAAAAHf/6t8=")</f>
        <v>#REF!</v>
      </c>
      <c r="HQ95" t="e">
        <f>AND(#REF!,"AAAAAHf/6uA=")</f>
        <v>#REF!</v>
      </c>
      <c r="HR95" t="e">
        <f>AND(#REF!,"AAAAAHf/6uE=")</f>
        <v>#REF!</v>
      </c>
      <c r="HS95" t="e">
        <f>AND(#REF!,"AAAAAHf/6uI=")</f>
        <v>#REF!</v>
      </c>
      <c r="HT95" t="e">
        <f>AND(#REF!,"AAAAAHf/6uM=")</f>
        <v>#REF!</v>
      </c>
      <c r="HU95" t="e">
        <f>AND(#REF!,"AAAAAHf/6uQ=")</f>
        <v>#REF!</v>
      </c>
      <c r="HV95" t="e">
        <f>AND(#REF!,"AAAAAHf/6uU=")</f>
        <v>#REF!</v>
      </c>
      <c r="HW95" t="e">
        <f>AND(#REF!,"AAAAAHf/6uY=")</f>
        <v>#REF!</v>
      </c>
      <c r="HX95" t="e">
        <f>AND(#REF!,"AAAAAHf/6uc=")</f>
        <v>#REF!</v>
      </c>
      <c r="HY95" t="e">
        <f>AND(#REF!,"AAAAAHf/6ug=")</f>
        <v>#REF!</v>
      </c>
      <c r="HZ95" t="e">
        <f>AND(#REF!,"AAAAAHf/6uk=")</f>
        <v>#REF!</v>
      </c>
      <c r="IA95" t="e">
        <f>AND(#REF!,"AAAAAHf/6uo=")</f>
        <v>#REF!</v>
      </c>
      <c r="IB95" t="e">
        <f>AND(#REF!,"AAAAAHf/6us=")</f>
        <v>#REF!</v>
      </c>
      <c r="IC95" t="e">
        <f>AND(#REF!,"AAAAAHf/6uw=")</f>
        <v>#REF!</v>
      </c>
      <c r="ID95" t="e">
        <f>AND(#REF!,"AAAAAHf/6u0=")</f>
        <v>#REF!</v>
      </c>
      <c r="IE95" t="e">
        <f>AND(#REF!,"AAAAAHf/6u4=")</f>
        <v>#REF!</v>
      </c>
      <c r="IF95" t="e">
        <f>AND(#REF!,"AAAAAHf/6u8=")</f>
        <v>#REF!</v>
      </c>
      <c r="IG95" t="e">
        <f>AND(#REF!,"AAAAAHf/6vA=")</f>
        <v>#REF!</v>
      </c>
      <c r="IH95" t="e">
        <f>AND(#REF!,"AAAAAHf/6vE=")</f>
        <v>#REF!</v>
      </c>
      <c r="II95" t="e">
        <f>AND(#REF!,"AAAAAHf/6vI=")</f>
        <v>#REF!</v>
      </c>
      <c r="IJ95" t="e">
        <f>AND(#REF!,"AAAAAHf/6vM=")</f>
        <v>#REF!</v>
      </c>
      <c r="IK95" t="e">
        <f>AND(#REF!,"AAAAAHf/6vQ=")</f>
        <v>#REF!</v>
      </c>
      <c r="IL95" t="e">
        <f>AND(#REF!,"AAAAAHf/6vU=")</f>
        <v>#REF!</v>
      </c>
      <c r="IM95" t="e">
        <f>AND(#REF!,"AAAAAHf/6vY=")</f>
        <v>#REF!</v>
      </c>
      <c r="IN95" t="e">
        <f>AND(#REF!,"AAAAAHf/6vc=")</f>
        <v>#REF!</v>
      </c>
      <c r="IO95" t="e">
        <f>IF(#REF!,"AAAAAHf/6vg=",0)</f>
        <v>#REF!</v>
      </c>
      <c r="IP95" t="e">
        <f>AND(#REF!,"AAAAAHf/6vk=")</f>
        <v>#REF!</v>
      </c>
      <c r="IQ95" t="e">
        <f>AND(#REF!,"AAAAAHf/6vo=")</f>
        <v>#REF!</v>
      </c>
      <c r="IR95" t="e">
        <f>AND(#REF!,"AAAAAHf/6vs=")</f>
        <v>#REF!</v>
      </c>
      <c r="IS95" t="e">
        <f>AND(#REF!,"AAAAAHf/6vw=")</f>
        <v>#REF!</v>
      </c>
      <c r="IT95" t="e">
        <f>AND(#REF!,"AAAAAHf/6v0=")</f>
        <v>#REF!</v>
      </c>
      <c r="IU95" t="e">
        <f>AND(#REF!,"AAAAAHf/6v4=")</f>
        <v>#REF!</v>
      </c>
      <c r="IV95" t="e">
        <f>AND(#REF!,"AAAAAHf/6v8=")</f>
        <v>#REF!</v>
      </c>
    </row>
    <row r="96" spans="1:256" x14ac:dyDescent="0.2">
      <c r="A96" t="e">
        <f>AND(#REF!,"AAAAAEf5fQA=")</f>
        <v>#REF!</v>
      </c>
      <c r="B96" t="e">
        <f>AND(#REF!,"AAAAAEf5fQE=")</f>
        <v>#REF!</v>
      </c>
      <c r="C96" t="e">
        <f>AND(#REF!,"AAAAAEf5fQI=")</f>
        <v>#REF!</v>
      </c>
      <c r="D96" t="e">
        <f>AND(#REF!,"AAAAAEf5fQM=")</f>
        <v>#REF!</v>
      </c>
      <c r="E96" t="e">
        <f>AND(#REF!,"AAAAAEf5fQQ=")</f>
        <v>#REF!</v>
      </c>
      <c r="F96" t="e">
        <f>AND(#REF!,"AAAAAEf5fQU=")</f>
        <v>#REF!</v>
      </c>
      <c r="G96" t="e">
        <f>AND(#REF!,"AAAAAEf5fQY=")</f>
        <v>#REF!</v>
      </c>
      <c r="H96" t="e">
        <f>AND(#REF!,"AAAAAEf5fQc=")</f>
        <v>#REF!</v>
      </c>
      <c r="I96" t="e">
        <f>AND(#REF!,"AAAAAEf5fQg=")</f>
        <v>#REF!</v>
      </c>
      <c r="J96" t="e">
        <f>AND(#REF!,"AAAAAEf5fQk=")</f>
        <v>#REF!</v>
      </c>
      <c r="K96" t="e">
        <f>AND(#REF!,"AAAAAEf5fQo=")</f>
        <v>#REF!</v>
      </c>
      <c r="L96" t="e">
        <f>AND(#REF!,"AAAAAEf5fQs=")</f>
        <v>#REF!</v>
      </c>
      <c r="M96" t="e">
        <f>AND(#REF!,"AAAAAEf5fQw=")</f>
        <v>#REF!</v>
      </c>
      <c r="N96" t="e">
        <f>AND(#REF!,"AAAAAEf5fQ0=")</f>
        <v>#REF!</v>
      </c>
      <c r="O96" t="e">
        <f>AND(#REF!,"AAAAAEf5fQ4=")</f>
        <v>#REF!</v>
      </c>
      <c r="P96" t="e">
        <f>AND(#REF!,"AAAAAEf5fQ8=")</f>
        <v>#REF!</v>
      </c>
      <c r="Q96" t="e">
        <f>AND(#REF!,"AAAAAEf5fRA=")</f>
        <v>#REF!</v>
      </c>
      <c r="R96" t="e">
        <f>AND(#REF!,"AAAAAEf5fRE=")</f>
        <v>#REF!</v>
      </c>
      <c r="S96" t="e">
        <f>AND(#REF!,"AAAAAEf5fRI=")</f>
        <v>#REF!</v>
      </c>
      <c r="T96" t="e">
        <f>IF(#REF!,"AAAAAEf5fRM=",0)</f>
        <v>#REF!</v>
      </c>
      <c r="U96" t="e">
        <f>AND(#REF!,"AAAAAEf5fRQ=")</f>
        <v>#REF!</v>
      </c>
      <c r="V96" t="e">
        <f>AND(#REF!,"AAAAAEf5fRU=")</f>
        <v>#REF!</v>
      </c>
      <c r="W96" t="e">
        <f>AND(#REF!,"AAAAAEf5fRY=")</f>
        <v>#REF!</v>
      </c>
      <c r="X96" t="e">
        <f>AND(#REF!,"AAAAAEf5fRc=")</f>
        <v>#REF!</v>
      </c>
      <c r="Y96" t="e">
        <f>AND(#REF!,"AAAAAEf5fRg=")</f>
        <v>#REF!</v>
      </c>
      <c r="Z96" t="e">
        <f>AND(#REF!,"AAAAAEf5fRk=")</f>
        <v>#REF!</v>
      </c>
      <c r="AA96" t="e">
        <f>AND(#REF!,"AAAAAEf5fRo=")</f>
        <v>#REF!</v>
      </c>
      <c r="AB96" t="e">
        <f>AND(#REF!,"AAAAAEf5fRs=")</f>
        <v>#REF!</v>
      </c>
      <c r="AC96" t="e">
        <f>AND(#REF!,"AAAAAEf5fRw=")</f>
        <v>#REF!</v>
      </c>
      <c r="AD96" t="e">
        <f>AND(#REF!,"AAAAAEf5fR0=")</f>
        <v>#REF!</v>
      </c>
      <c r="AE96" t="e">
        <f>AND(#REF!,"AAAAAEf5fR4=")</f>
        <v>#REF!</v>
      </c>
      <c r="AF96" t="e">
        <f>AND(#REF!,"AAAAAEf5fR8=")</f>
        <v>#REF!</v>
      </c>
      <c r="AG96" t="e">
        <f>AND(#REF!,"AAAAAEf5fSA=")</f>
        <v>#REF!</v>
      </c>
      <c r="AH96" t="e">
        <f>AND(#REF!,"AAAAAEf5fSE=")</f>
        <v>#REF!</v>
      </c>
      <c r="AI96" t="e">
        <f>AND(#REF!,"AAAAAEf5fSI=")</f>
        <v>#REF!</v>
      </c>
      <c r="AJ96" t="e">
        <f>AND(#REF!,"AAAAAEf5fSM=")</f>
        <v>#REF!</v>
      </c>
      <c r="AK96" t="e">
        <f>AND(#REF!,"AAAAAEf5fSQ=")</f>
        <v>#REF!</v>
      </c>
      <c r="AL96" t="e">
        <f>AND(#REF!,"AAAAAEf5fSU=")</f>
        <v>#REF!</v>
      </c>
      <c r="AM96" t="e">
        <f>AND(#REF!,"AAAAAEf5fSY=")</f>
        <v>#REF!</v>
      </c>
      <c r="AN96" t="e">
        <f>AND(#REF!,"AAAAAEf5fSc=")</f>
        <v>#REF!</v>
      </c>
      <c r="AO96" t="e">
        <f>AND(#REF!,"AAAAAEf5fSg=")</f>
        <v>#REF!</v>
      </c>
      <c r="AP96" t="e">
        <f>AND(#REF!,"AAAAAEf5fSk=")</f>
        <v>#REF!</v>
      </c>
      <c r="AQ96" t="e">
        <f>AND(#REF!,"AAAAAEf5fSo=")</f>
        <v>#REF!</v>
      </c>
      <c r="AR96" t="e">
        <f>AND(#REF!,"AAAAAEf5fSs=")</f>
        <v>#REF!</v>
      </c>
      <c r="AS96" t="e">
        <f>AND(#REF!,"AAAAAEf5fSw=")</f>
        <v>#REF!</v>
      </c>
      <c r="AT96" t="e">
        <f>AND(#REF!,"AAAAAEf5fS0=")</f>
        <v>#REF!</v>
      </c>
      <c r="AU96" t="e">
        <f>IF(#REF!,"AAAAAEf5fS4=",0)</f>
        <v>#REF!</v>
      </c>
      <c r="AV96" t="e">
        <f>AND(#REF!,"AAAAAEf5fS8=")</f>
        <v>#REF!</v>
      </c>
      <c r="AW96" t="e">
        <f>AND(#REF!,"AAAAAEf5fTA=")</f>
        <v>#REF!</v>
      </c>
      <c r="AX96" t="e">
        <f>AND(#REF!,"AAAAAEf5fTE=")</f>
        <v>#REF!</v>
      </c>
      <c r="AY96" t="e">
        <f>AND(#REF!,"AAAAAEf5fTI=")</f>
        <v>#REF!</v>
      </c>
      <c r="AZ96" t="e">
        <f>AND(#REF!,"AAAAAEf5fTM=")</f>
        <v>#REF!</v>
      </c>
      <c r="BA96" t="e">
        <f>AND(#REF!,"AAAAAEf5fTQ=")</f>
        <v>#REF!</v>
      </c>
      <c r="BB96" t="e">
        <f>AND(#REF!,"AAAAAEf5fTU=")</f>
        <v>#REF!</v>
      </c>
      <c r="BC96" t="e">
        <f>AND(#REF!,"AAAAAEf5fTY=")</f>
        <v>#REF!</v>
      </c>
      <c r="BD96" t="e">
        <f>AND(#REF!,"AAAAAEf5fTc=")</f>
        <v>#REF!</v>
      </c>
      <c r="BE96" t="e">
        <f>AND(#REF!,"AAAAAEf5fTg=")</f>
        <v>#REF!</v>
      </c>
      <c r="BF96" t="e">
        <f>AND(#REF!,"AAAAAEf5fTk=")</f>
        <v>#REF!</v>
      </c>
      <c r="BG96" t="e">
        <f>AND(#REF!,"AAAAAEf5fTo=")</f>
        <v>#REF!</v>
      </c>
      <c r="BH96" t="e">
        <f>AND(#REF!,"AAAAAEf5fTs=")</f>
        <v>#REF!</v>
      </c>
      <c r="BI96" t="e">
        <f>AND(#REF!,"AAAAAEf5fTw=")</f>
        <v>#REF!</v>
      </c>
      <c r="BJ96" t="e">
        <f>AND(#REF!,"AAAAAEf5fT0=")</f>
        <v>#REF!</v>
      </c>
      <c r="BK96" t="e">
        <f>AND(#REF!,"AAAAAEf5fT4=")</f>
        <v>#REF!</v>
      </c>
      <c r="BL96" t="e">
        <f>AND(#REF!,"AAAAAEf5fT8=")</f>
        <v>#REF!</v>
      </c>
      <c r="BM96" t="e">
        <f>AND(#REF!,"AAAAAEf5fUA=")</f>
        <v>#REF!</v>
      </c>
      <c r="BN96" t="e">
        <f>AND(#REF!,"AAAAAEf5fUE=")</f>
        <v>#REF!</v>
      </c>
      <c r="BO96" t="e">
        <f>AND(#REF!,"AAAAAEf5fUI=")</f>
        <v>#REF!</v>
      </c>
      <c r="BP96" t="e">
        <f>AND(#REF!,"AAAAAEf5fUM=")</f>
        <v>#REF!</v>
      </c>
      <c r="BQ96" t="e">
        <f>AND(#REF!,"AAAAAEf5fUQ=")</f>
        <v>#REF!</v>
      </c>
      <c r="BR96" t="e">
        <f>AND(#REF!,"AAAAAEf5fUU=")</f>
        <v>#REF!</v>
      </c>
      <c r="BS96" t="e">
        <f>AND(#REF!,"AAAAAEf5fUY=")</f>
        <v>#REF!</v>
      </c>
      <c r="BT96" t="e">
        <f>AND(#REF!,"AAAAAEf5fUc=")</f>
        <v>#REF!</v>
      </c>
      <c r="BU96" t="e">
        <f>AND(#REF!,"AAAAAEf5fUg=")</f>
        <v>#REF!</v>
      </c>
      <c r="BV96" t="e">
        <f>IF(#REF!,"AAAAAEf5fUk=",0)</f>
        <v>#REF!</v>
      </c>
      <c r="BW96" t="e">
        <f>AND(#REF!,"AAAAAEf5fUo=")</f>
        <v>#REF!</v>
      </c>
      <c r="BX96" t="e">
        <f>AND(#REF!,"AAAAAEf5fUs=")</f>
        <v>#REF!</v>
      </c>
      <c r="BY96" t="e">
        <f>AND(#REF!,"AAAAAEf5fUw=")</f>
        <v>#REF!</v>
      </c>
      <c r="BZ96" t="e">
        <f>AND(#REF!,"AAAAAEf5fU0=")</f>
        <v>#REF!</v>
      </c>
      <c r="CA96" t="e">
        <f>AND(#REF!,"AAAAAEf5fU4=")</f>
        <v>#REF!</v>
      </c>
      <c r="CB96" t="e">
        <f>AND(#REF!,"AAAAAEf5fU8=")</f>
        <v>#REF!</v>
      </c>
      <c r="CC96" t="e">
        <f>AND(#REF!,"AAAAAEf5fVA=")</f>
        <v>#REF!</v>
      </c>
      <c r="CD96" t="e">
        <f>AND(#REF!,"AAAAAEf5fVE=")</f>
        <v>#REF!</v>
      </c>
      <c r="CE96" t="e">
        <f>AND(#REF!,"AAAAAEf5fVI=")</f>
        <v>#REF!</v>
      </c>
      <c r="CF96" t="e">
        <f>AND(#REF!,"AAAAAEf5fVM=")</f>
        <v>#REF!</v>
      </c>
      <c r="CG96" t="e">
        <f>AND(#REF!,"AAAAAEf5fVQ=")</f>
        <v>#REF!</v>
      </c>
      <c r="CH96" t="e">
        <f>AND(#REF!,"AAAAAEf5fVU=")</f>
        <v>#REF!</v>
      </c>
      <c r="CI96" t="e">
        <f>AND(#REF!,"AAAAAEf5fVY=")</f>
        <v>#REF!</v>
      </c>
      <c r="CJ96" t="e">
        <f>AND(#REF!,"AAAAAEf5fVc=")</f>
        <v>#REF!</v>
      </c>
      <c r="CK96" t="e">
        <f>AND(#REF!,"AAAAAEf5fVg=")</f>
        <v>#REF!</v>
      </c>
      <c r="CL96" t="e">
        <f>AND(#REF!,"AAAAAEf5fVk=")</f>
        <v>#REF!</v>
      </c>
      <c r="CM96" t="e">
        <f>AND(#REF!,"AAAAAEf5fVo=")</f>
        <v>#REF!</v>
      </c>
      <c r="CN96" t="e">
        <f>AND(#REF!,"AAAAAEf5fVs=")</f>
        <v>#REF!</v>
      </c>
      <c r="CO96" t="e">
        <f>AND(#REF!,"AAAAAEf5fVw=")</f>
        <v>#REF!</v>
      </c>
      <c r="CP96" t="e">
        <f>AND(#REF!,"AAAAAEf5fV0=")</f>
        <v>#REF!</v>
      </c>
      <c r="CQ96" t="e">
        <f>AND(#REF!,"AAAAAEf5fV4=")</f>
        <v>#REF!</v>
      </c>
      <c r="CR96" t="e">
        <f>AND(#REF!,"AAAAAEf5fV8=")</f>
        <v>#REF!</v>
      </c>
      <c r="CS96" t="e">
        <f>AND(#REF!,"AAAAAEf5fWA=")</f>
        <v>#REF!</v>
      </c>
      <c r="CT96" t="e">
        <f>AND(#REF!,"AAAAAEf5fWE=")</f>
        <v>#REF!</v>
      </c>
      <c r="CU96" t="e">
        <f>AND(#REF!,"AAAAAEf5fWI=")</f>
        <v>#REF!</v>
      </c>
      <c r="CV96" t="e">
        <f>AND(#REF!,"AAAAAEf5fWM=")</f>
        <v>#REF!</v>
      </c>
      <c r="CW96" t="e">
        <f>IF(#REF!,"AAAAAEf5fWQ=",0)</f>
        <v>#REF!</v>
      </c>
      <c r="CX96" t="e">
        <f>AND(#REF!,"AAAAAEf5fWU=")</f>
        <v>#REF!</v>
      </c>
      <c r="CY96" t="e">
        <f>AND(#REF!,"AAAAAEf5fWY=")</f>
        <v>#REF!</v>
      </c>
      <c r="CZ96" t="e">
        <f>AND(#REF!,"AAAAAEf5fWc=")</f>
        <v>#REF!</v>
      </c>
      <c r="DA96" t="e">
        <f>AND(#REF!,"AAAAAEf5fWg=")</f>
        <v>#REF!</v>
      </c>
      <c r="DB96" t="e">
        <f>AND(#REF!,"AAAAAEf5fWk=")</f>
        <v>#REF!</v>
      </c>
      <c r="DC96" t="e">
        <f>AND(#REF!,"AAAAAEf5fWo=")</f>
        <v>#REF!</v>
      </c>
      <c r="DD96" t="e">
        <f>AND(#REF!,"AAAAAEf5fWs=")</f>
        <v>#REF!</v>
      </c>
      <c r="DE96" t="e">
        <f>AND(#REF!,"AAAAAEf5fWw=")</f>
        <v>#REF!</v>
      </c>
      <c r="DF96" t="e">
        <f>AND(#REF!,"AAAAAEf5fW0=")</f>
        <v>#REF!</v>
      </c>
      <c r="DG96" t="e">
        <f>AND(#REF!,"AAAAAEf5fW4=")</f>
        <v>#REF!</v>
      </c>
      <c r="DH96" t="e">
        <f>AND(#REF!,"AAAAAEf5fW8=")</f>
        <v>#REF!</v>
      </c>
      <c r="DI96" t="e">
        <f>AND(#REF!,"AAAAAEf5fXA=")</f>
        <v>#REF!</v>
      </c>
      <c r="DJ96" t="e">
        <f>AND(#REF!,"AAAAAEf5fXE=")</f>
        <v>#REF!</v>
      </c>
      <c r="DK96" t="e">
        <f>AND(#REF!,"AAAAAEf5fXI=")</f>
        <v>#REF!</v>
      </c>
      <c r="DL96" t="e">
        <f>AND(#REF!,"AAAAAEf5fXM=")</f>
        <v>#REF!</v>
      </c>
      <c r="DM96" t="e">
        <f>AND(#REF!,"AAAAAEf5fXQ=")</f>
        <v>#REF!</v>
      </c>
      <c r="DN96" t="e">
        <f>AND(#REF!,"AAAAAEf5fXU=")</f>
        <v>#REF!</v>
      </c>
      <c r="DO96" t="e">
        <f>AND(#REF!,"AAAAAEf5fXY=")</f>
        <v>#REF!</v>
      </c>
      <c r="DP96" t="e">
        <f>AND(#REF!,"AAAAAEf5fXc=")</f>
        <v>#REF!</v>
      </c>
      <c r="DQ96" t="e">
        <f>AND(#REF!,"AAAAAEf5fXg=")</f>
        <v>#REF!</v>
      </c>
      <c r="DR96" t="e">
        <f>AND(#REF!,"AAAAAEf5fXk=")</f>
        <v>#REF!</v>
      </c>
      <c r="DS96" t="e">
        <f>AND(#REF!,"AAAAAEf5fXo=")</f>
        <v>#REF!</v>
      </c>
      <c r="DT96" t="e">
        <f>AND(#REF!,"AAAAAEf5fXs=")</f>
        <v>#REF!</v>
      </c>
      <c r="DU96" t="e">
        <f>AND(#REF!,"AAAAAEf5fXw=")</f>
        <v>#REF!</v>
      </c>
      <c r="DV96" t="e">
        <f>AND(#REF!,"AAAAAEf5fX0=")</f>
        <v>#REF!</v>
      </c>
      <c r="DW96" t="e">
        <f>AND(#REF!,"AAAAAEf5fX4=")</f>
        <v>#REF!</v>
      </c>
      <c r="DX96" t="e">
        <f>IF(#REF!,"AAAAAEf5fX8=",0)</f>
        <v>#REF!</v>
      </c>
      <c r="DY96" t="e">
        <f>AND(#REF!,"AAAAAEf5fYA=")</f>
        <v>#REF!</v>
      </c>
      <c r="DZ96" t="e">
        <f>AND(#REF!,"AAAAAEf5fYE=")</f>
        <v>#REF!</v>
      </c>
      <c r="EA96" t="e">
        <f>AND(#REF!,"AAAAAEf5fYI=")</f>
        <v>#REF!</v>
      </c>
      <c r="EB96" t="e">
        <f>AND(#REF!,"AAAAAEf5fYM=")</f>
        <v>#REF!</v>
      </c>
      <c r="EC96" t="e">
        <f>AND(#REF!,"AAAAAEf5fYQ=")</f>
        <v>#REF!</v>
      </c>
      <c r="ED96" t="e">
        <f>AND(#REF!,"AAAAAEf5fYU=")</f>
        <v>#REF!</v>
      </c>
      <c r="EE96" t="e">
        <f>AND(#REF!,"AAAAAEf5fYY=")</f>
        <v>#REF!</v>
      </c>
      <c r="EF96" t="e">
        <f>AND(#REF!,"AAAAAEf5fYc=")</f>
        <v>#REF!</v>
      </c>
      <c r="EG96" t="e">
        <f>AND(#REF!,"AAAAAEf5fYg=")</f>
        <v>#REF!</v>
      </c>
      <c r="EH96" t="e">
        <f>AND(#REF!,"AAAAAEf5fYk=")</f>
        <v>#REF!</v>
      </c>
      <c r="EI96" t="e">
        <f>AND(#REF!,"AAAAAEf5fYo=")</f>
        <v>#REF!</v>
      </c>
      <c r="EJ96" t="e">
        <f>AND(#REF!,"AAAAAEf5fYs=")</f>
        <v>#REF!</v>
      </c>
      <c r="EK96" t="e">
        <f>AND(#REF!,"AAAAAEf5fYw=")</f>
        <v>#REF!</v>
      </c>
      <c r="EL96" t="e">
        <f>AND(#REF!,"AAAAAEf5fY0=")</f>
        <v>#REF!</v>
      </c>
      <c r="EM96" t="e">
        <f>AND(#REF!,"AAAAAEf5fY4=")</f>
        <v>#REF!</v>
      </c>
      <c r="EN96" t="e">
        <f>AND(#REF!,"AAAAAEf5fY8=")</f>
        <v>#REF!</v>
      </c>
      <c r="EO96" t="e">
        <f>AND(#REF!,"AAAAAEf5fZA=")</f>
        <v>#REF!</v>
      </c>
      <c r="EP96" t="e">
        <f>AND(#REF!,"AAAAAEf5fZE=")</f>
        <v>#REF!</v>
      </c>
      <c r="EQ96" t="e">
        <f>AND(#REF!,"AAAAAEf5fZI=")</f>
        <v>#REF!</v>
      </c>
      <c r="ER96" t="e">
        <f>AND(#REF!,"AAAAAEf5fZM=")</f>
        <v>#REF!</v>
      </c>
      <c r="ES96" t="e">
        <f>AND(#REF!,"AAAAAEf5fZQ=")</f>
        <v>#REF!</v>
      </c>
      <c r="ET96" t="e">
        <f>AND(#REF!,"AAAAAEf5fZU=")</f>
        <v>#REF!</v>
      </c>
      <c r="EU96" t="e">
        <f>AND(#REF!,"AAAAAEf5fZY=")</f>
        <v>#REF!</v>
      </c>
      <c r="EV96" t="e">
        <f>AND(#REF!,"AAAAAEf5fZc=")</f>
        <v>#REF!</v>
      </c>
      <c r="EW96" t="e">
        <f>AND(#REF!,"AAAAAEf5fZg=")</f>
        <v>#REF!</v>
      </c>
      <c r="EX96" t="e">
        <f>AND(#REF!,"AAAAAEf5fZk=")</f>
        <v>#REF!</v>
      </c>
      <c r="EY96" t="e">
        <f>IF(#REF!,"AAAAAEf5fZo=",0)</f>
        <v>#REF!</v>
      </c>
      <c r="EZ96" t="e">
        <f>AND(#REF!,"AAAAAEf5fZs=")</f>
        <v>#REF!</v>
      </c>
      <c r="FA96" t="e">
        <f>AND(#REF!,"AAAAAEf5fZw=")</f>
        <v>#REF!</v>
      </c>
      <c r="FB96" t="e">
        <f>AND(#REF!,"AAAAAEf5fZ0=")</f>
        <v>#REF!</v>
      </c>
      <c r="FC96" t="e">
        <f>AND(#REF!,"AAAAAEf5fZ4=")</f>
        <v>#REF!</v>
      </c>
      <c r="FD96" t="e">
        <f>AND(#REF!,"AAAAAEf5fZ8=")</f>
        <v>#REF!</v>
      </c>
      <c r="FE96" t="e">
        <f>AND(#REF!,"AAAAAEf5faA=")</f>
        <v>#REF!</v>
      </c>
      <c r="FF96" t="e">
        <f>AND(#REF!,"AAAAAEf5faE=")</f>
        <v>#REF!</v>
      </c>
      <c r="FG96" t="e">
        <f>AND(#REF!,"AAAAAEf5faI=")</f>
        <v>#REF!</v>
      </c>
      <c r="FH96" t="e">
        <f>AND(#REF!,"AAAAAEf5faM=")</f>
        <v>#REF!</v>
      </c>
      <c r="FI96" t="e">
        <f>AND(#REF!,"AAAAAEf5faQ=")</f>
        <v>#REF!</v>
      </c>
      <c r="FJ96" t="e">
        <f>AND(#REF!,"AAAAAEf5faU=")</f>
        <v>#REF!</v>
      </c>
      <c r="FK96" t="e">
        <f>AND(#REF!,"AAAAAEf5faY=")</f>
        <v>#REF!</v>
      </c>
      <c r="FL96" t="e">
        <f>AND(#REF!,"AAAAAEf5fac=")</f>
        <v>#REF!</v>
      </c>
      <c r="FM96" t="e">
        <f>AND(#REF!,"AAAAAEf5fag=")</f>
        <v>#REF!</v>
      </c>
      <c r="FN96" t="e">
        <f>AND(#REF!,"AAAAAEf5fak=")</f>
        <v>#REF!</v>
      </c>
      <c r="FO96" t="e">
        <f>AND(#REF!,"AAAAAEf5fao=")</f>
        <v>#REF!</v>
      </c>
      <c r="FP96" t="e">
        <f>AND(#REF!,"AAAAAEf5fas=")</f>
        <v>#REF!</v>
      </c>
      <c r="FQ96" t="e">
        <f>AND(#REF!,"AAAAAEf5faw=")</f>
        <v>#REF!</v>
      </c>
      <c r="FR96" t="e">
        <f>AND(#REF!,"AAAAAEf5fa0=")</f>
        <v>#REF!</v>
      </c>
      <c r="FS96" t="e">
        <f>AND(#REF!,"AAAAAEf5fa4=")</f>
        <v>#REF!</v>
      </c>
      <c r="FT96" t="e">
        <f>AND(#REF!,"AAAAAEf5fa8=")</f>
        <v>#REF!</v>
      </c>
      <c r="FU96" t="e">
        <f>AND(#REF!,"AAAAAEf5fbA=")</f>
        <v>#REF!</v>
      </c>
      <c r="FV96" t="e">
        <f>AND(#REF!,"AAAAAEf5fbE=")</f>
        <v>#REF!</v>
      </c>
      <c r="FW96" t="e">
        <f>AND(#REF!,"AAAAAEf5fbI=")</f>
        <v>#REF!</v>
      </c>
      <c r="FX96" t="e">
        <f>AND(#REF!,"AAAAAEf5fbM=")</f>
        <v>#REF!</v>
      </c>
      <c r="FY96" t="e">
        <f>AND(#REF!,"AAAAAEf5fbQ=")</f>
        <v>#REF!</v>
      </c>
      <c r="FZ96" t="e">
        <f>IF(#REF!,"AAAAAEf5fbU=",0)</f>
        <v>#REF!</v>
      </c>
      <c r="GA96" t="e">
        <f>AND(#REF!,"AAAAAEf5fbY=")</f>
        <v>#REF!</v>
      </c>
      <c r="GB96" t="e">
        <f>AND(#REF!,"AAAAAEf5fbc=")</f>
        <v>#REF!</v>
      </c>
      <c r="GC96" t="e">
        <f>AND(#REF!,"AAAAAEf5fbg=")</f>
        <v>#REF!</v>
      </c>
      <c r="GD96" t="e">
        <f>AND(#REF!,"AAAAAEf5fbk=")</f>
        <v>#REF!</v>
      </c>
      <c r="GE96" t="e">
        <f>AND(#REF!,"AAAAAEf5fbo=")</f>
        <v>#REF!</v>
      </c>
      <c r="GF96" t="e">
        <f>AND(#REF!,"AAAAAEf5fbs=")</f>
        <v>#REF!</v>
      </c>
      <c r="GG96" t="e">
        <f>AND(#REF!,"AAAAAEf5fbw=")</f>
        <v>#REF!</v>
      </c>
      <c r="GH96" t="e">
        <f>AND(#REF!,"AAAAAEf5fb0=")</f>
        <v>#REF!</v>
      </c>
      <c r="GI96" t="e">
        <f>AND(#REF!,"AAAAAEf5fb4=")</f>
        <v>#REF!</v>
      </c>
      <c r="GJ96" t="e">
        <f>AND(#REF!,"AAAAAEf5fb8=")</f>
        <v>#REF!</v>
      </c>
      <c r="GK96" t="e">
        <f>AND(#REF!,"AAAAAEf5fcA=")</f>
        <v>#REF!</v>
      </c>
      <c r="GL96" t="e">
        <f>AND(#REF!,"AAAAAEf5fcE=")</f>
        <v>#REF!</v>
      </c>
      <c r="GM96" t="e">
        <f>AND(#REF!,"AAAAAEf5fcI=")</f>
        <v>#REF!</v>
      </c>
      <c r="GN96" t="e">
        <f>AND(#REF!,"AAAAAEf5fcM=")</f>
        <v>#REF!</v>
      </c>
      <c r="GO96" t="e">
        <f>AND(#REF!,"AAAAAEf5fcQ=")</f>
        <v>#REF!</v>
      </c>
      <c r="GP96" t="e">
        <f>AND(#REF!,"AAAAAEf5fcU=")</f>
        <v>#REF!</v>
      </c>
      <c r="GQ96" t="e">
        <f>AND(#REF!,"AAAAAEf5fcY=")</f>
        <v>#REF!</v>
      </c>
      <c r="GR96" t="e">
        <f>AND(#REF!,"AAAAAEf5fcc=")</f>
        <v>#REF!</v>
      </c>
      <c r="GS96" t="e">
        <f>AND(#REF!,"AAAAAEf5fcg=")</f>
        <v>#REF!</v>
      </c>
      <c r="GT96" t="e">
        <f>AND(#REF!,"AAAAAEf5fck=")</f>
        <v>#REF!</v>
      </c>
      <c r="GU96" t="e">
        <f>AND(#REF!,"AAAAAEf5fco=")</f>
        <v>#REF!</v>
      </c>
      <c r="GV96" t="e">
        <f>AND(#REF!,"AAAAAEf5fcs=")</f>
        <v>#REF!</v>
      </c>
      <c r="GW96" t="e">
        <f>AND(#REF!,"AAAAAEf5fcw=")</f>
        <v>#REF!</v>
      </c>
      <c r="GX96" t="e">
        <f>AND(#REF!,"AAAAAEf5fc0=")</f>
        <v>#REF!</v>
      </c>
      <c r="GY96" t="e">
        <f>AND(#REF!,"AAAAAEf5fc4=")</f>
        <v>#REF!</v>
      </c>
      <c r="GZ96" t="e">
        <f>AND(#REF!,"AAAAAEf5fc8=")</f>
        <v>#REF!</v>
      </c>
      <c r="HA96" t="e">
        <f>IF(#REF!,"AAAAAEf5fdA=",0)</f>
        <v>#REF!</v>
      </c>
      <c r="HB96" t="e">
        <f>AND(#REF!,"AAAAAEf5fdE=")</f>
        <v>#REF!</v>
      </c>
      <c r="HC96" t="e">
        <f>AND(#REF!,"AAAAAEf5fdI=")</f>
        <v>#REF!</v>
      </c>
      <c r="HD96" t="e">
        <f>AND(#REF!,"AAAAAEf5fdM=")</f>
        <v>#REF!</v>
      </c>
      <c r="HE96" t="e">
        <f>AND(#REF!,"AAAAAEf5fdQ=")</f>
        <v>#REF!</v>
      </c>
      <c r="HF96" t="e">
        <f>AND(#REF!,"AAAAAEf5fdU=")</f>
        <v>#REF!</v>
      </c>
      <c r="HG96" t="e">
        <f>AND(#REF!,"AAAAAEf5fdY=")</f>
        <v>#REF!</v>
      </c>
      <c r="HH96" t="e">
        <f>AND(#REF!,"AAAAAEf5fdc=")</f>
        <v>#REF!</v>
      </c>
      <c r="HI96" t="e">
        <f>AND(#REF!,"AAAAAEf5fdg=")</f>
        <v>#REF!</v>
      </c>
      <c r="HJ96" t="e">
        <f>AND(#REF!,"AAAAAEf5fdk=")</f>
        <v>#REF!</v>
      </c>
      <c r="HK96" t="e">
        <f>AND(#REF!,"AAAAAEf5fdo=")</f>
        <v>#REF!</v>
      </c>
      <c r="HL96" t="e">
        <f>AND(#REF!,"AAAAAEf5fds=")</f>
        <v>#REF!</v>
      </c>
      <c r="HM96" t="e">
        <f>AND(#REF!,"AAAAAEf5fdw=")</f>
        <v>#REF!</v>
      </c>
      <c r="HN96" t="e">
        <f>AND(#REF!,"AAAAAEf5fd0=")</f>
        <v>#REF!</v>
      </c>
      <c r="HO96" t="e">
        <f>AND(#REF!,"AAAAAEf5fd4=")</f>
        <v>#REF!</v>
      </c>
      <c r="HP96" t="e">
        <f>AND(#REF!,"AAAAAEf5fd8=")</f>
        <v>#REF!</v>
      </c>
      <c r="HQ96" t="e">
        <f>AND(#REF!,"AAAAAEf5feA=")</f>
        <v>#REF!</v>
      </c>
      <c r="HR96" t="e">
        <f>AND(#REF!,"AAAAAEf5feE=")</f>
        <v>#REF!</v>
      </c>
      <c r="HS96" t="e">
        <f>AND(#REF!,"AAAAAEf5feI=")</f>
        <v>#REF!</v>
      </c>
      <c r="HT96" t="e">
        <f>AND(#REF!,"AAAAAEf5feM=")</f>
        <v>#REF!</v>
      </c>
      <c r="HU96" t="e">
        <f>AND(#REF!,"AAAAAEf5feQ=")</f>
        <v>#REF!</v>
      </c>
      <c r="HV96" t="e">
        <f>AND(#REF!,"AAAAAEf5feU=")</f>
        <v>#REF!</v>
      </c>
      <c r="HW96" t="e">
        <f>AND(#REF!,"AAAAAEf5feY=")</f>
        <v>#REF!</v>
      </c>
      <c r="HX96" t="e">
        <f>AND(#REF!,"AAAAAEf5fec=")</f>
        <v>#REF!</v>
      </c>
      <c r="HY96" t="e">
        <f>AND(#REF!,"AAAAAEf5feg=")</f>
        <v>#REF!</v>
      </c>
      <c r="HZ96" t="e">
        <f>AND(#REF!,"AAAAAEf5fek=")</f>
        <v>#REF!</v>
      </c>
      <c r="IA96" t="e">
        <f>AND(#REF!,"AAAAAEf5feo=")</f>
        <v>#REF!</v>
      </c>
      <c r="IB96" t="e">
        <f>IF(#REF!,"AAAAAEf5fes=",0)</f>
        <v>#REF!</v>
      </c>
      <c r="IC96" t="e">
        <f>AND(#REF!,"AAAAAEf5few=")</f>
        <v>#REF!</v>
      </c>
      <c r="ID96" t="e">
        <f>AND(#REF!,"AAAAAEf5fe0=")</f>
        <v>#REF!</v>
      </c>
      <c r="IE96" t="e">
        <f>AND(#REF!,"AAAAAEf5fe4=")</f>
        <v>#REF!</v>
      </c>
      <c r="IF96" t="e">
        <f>AND(#REF!,"AAAAAEf5fe8=")</f>
        <v>#REF!</v>
      </c>
      <c r="IG96" t="e">
        <f>AND(#REF!,"AAAAAEf5ffA=")</f>
        <v>#REF!</v>
      </c>
      <c r="IH96" t="e">
        <f>AND(#REF!,"AAAAAEf5ffE=")</f>
        <v>#REF!</v>
      </c>
      <c r="II96" t="e">
        <f>AND(#REF!,"AAAAAEf5ffI=")</f>
        <v>#REF!</v>
      </c>
      <c r="IJ96" t="e">
        <f>AND(#REF!,"AAAAAEf5ffM=")</f>
        <v>#REF!</v>
      </c>
      <c r="IK96" t="e">
        <f>AND(#REF!,"AAAAAEf5ffQ=")</f>
        <v>#REF!</v>
      </c>
      <c r="IL96" t="e">
        <f>AND(#REF!,"AAAAAEf5ffU=")</f>
        <v>#REF!</v>
      </c>
      <c r="IM96" t="e">
        <f>AND(#REF!,"AAAAAEf5ffY=")</f>
        <v>#REF!</v>
      </c>
      <c r="IN96" t="e">
        <f>AND(#REF!,"AAAAAEf5ffc=")</f>
        <v>#REF!</v>
      </c>
      <c r="IO96" t="e">
        <f>AND(#REF!,"AAAAAEf5ffg=")</f>
        <v>#REF!</v>
      </c>
      <c r="IP96" t="e">
        <f>AND(#REF!,"AAAAAEf5ffk=")</f>
        <v>#REF!</v>
      </c>
      <c r="IQ96" t="e">
        <f>AND(#REF!,"AAAAAEf5ffo=")</f>
        <v>#REF!</v>
      </c>
      <c r="IR96" t="e">
        <f>AND(#REF!,"AAAAAEf5ffs=")</f>
        <v>#REF!</v>
      </c>
      <c r="IS96" t="e">
        <f>AND(#REF!,"AAAAAEf5ffw=")</f>
        <v>#REF!</v>
      </c>
      <c r="IT96" t="e">
        <f>AND(#REF!,"AAAAAEf5ff0=")</f>
        <v>#REF!</v>
      </c>
      <c r="IU96" t="e">
        <f>AND(#REF!,"AAAAAEf5ff4=")</f>
        <v>#REF!</v>
      </c>
      <c r="IV96" t="e">
        <f>AND(#REF!,"AAAAAEf5ff8=")</f>
        <v>#REF!</v>
      </c>
    </row>
    <row r="97" spans="1:256" x14ac:dyDescent="0.2">
      <c r="A97" t="e">
        <f>AND(#REF!,"AAAAAB773QA=")</f>
        <v>#REF!</v>
      </c>
      <c r="B97" t="e">
        <f>AND(#REF!,"AAAAAB773QE=")</f>
        <v>#REF!</v>
      </c>
      <c r="C97" t="e">
        <f>AND(#REF!,"AAAAAB773QI=")</f>
        <v>#REF!</v>
      </c>
      <c r="D97" t="e">
        <f>AND(#REF!,"AAAAAB773QM=")</f>
        <v>#REF!</v>
      </c>
      <c r="E97" t="e">
        <f>AND(#REF!,"AAAAAB773QQ=")</f>
        <v>#REF!</v>
      </c>
      <c r="F97" t="e">
        <f>AND(#REF!,"AAAAAB773QU=")</f>
        <v>#REF!</v>
      </c>
      <c r="G97" t="e">
        <f>IF(#REF!,"AAAAAB773QY=",0)</f>
        <v>#REF!</v>
      </c>
      <c r="H97" t="e">
        <f>AND(#REF!,"AAAAAB773Qc=")</f>
        <v>#REF!</v>
      </c>
      <c r="I97" t="e">
        <f>AND(#REF!,"AAAAAB773Qg=")</f>
        <v>#REF!</v>
      </c>
      <c r="J97" t="e">
        <f>AND(#REF!,"AAAAAB773Qk=")</f>
        <v>#REF!</v>
      </c>
      <c r="K97" t="e">
        <f>AND(#REF!,"AAAAAB773Qo=")</f>
        <v>#REF!</v>
      </c>
      <c r="L97" t="e">
        <f>AND(#REF!,"AAAAAB773Qs=")</f>
        <v>#REF!</v>
      </c>
      <c r="M97" t="e">
        <f>AND(#REF!,"AAAAAB773Qw=")</f>
        <v>#REF!</v>
      </c>
      <c r="N97" t="e">
        <f>AND(#REF!,"AAAAAB773Q0=")</f>
        <v>#REF!</v>
      </c>
      <c r="O97" t="e">
        <f>AND(#REF!,"AAAAAB773Q4=")</f>
        <v>#REF!</v>
      </c>
      <c r="P97" t="e">
        <f>AND(#REF!,"AAAAAB773Q8=")</f>
        <v>#REF!</v>
      </c>
      <c r="Q97" t="e">
        <f>AND(#REF!,"AAAAAB773RA=")</f>
        <v>#REF!</v>
      </c>
      <c r="R97" t="e">
        <f>AND(#REF!,"AAAAAB773RE=")</f>
        <v>#REF!</v>
      </c>
      <c r="S97" t="e">
        <f>AND(#REF!,"AAAAAB773RI=")</f>
        <v>#REF!</v>
      </c>
      <c r="T97" t="e">
        <f>AND(#REF!,"AAAAAB773RM=")</f>
        <v>#REF!</v>
      </c>
      <c r="U97" t="e">
        <f>AND(#REF!,"AAAAAB773RQ=")</f>
        <v>#REF!</v>
      </c>
      <c r="V97" t="e">
        <f>AND(#REF!,"AAAAAB773RU=")</f>
        <v>#REF!</v>
      </c>
      <c r="W97" t="e">
        <f>AND(#REF!,"AAAAAB773RY=")</f>
        <v>#REF!</v>
      </c>
      <c r="X97" t="e">
        <f>AND(#REF!,"AAAAAB773Rc=")</f>
        <v>#REF!</v>
      </c>
      <c r="Y97" t="e">
        <f>AND(#REF!,"AAAAAB773Rg=")</f>
        <v>#REF!</v>
      </c>
      <c r="Z97" t="e">
        <f>AND(#REF!,"AAAAAB773Rk=")</f>
        <v>#REF!</v>
      </c>
      <c r="AA97" t="e">
        <f>AND(#REF!,"AAAAAB773Ro=")</f>
        <v>#REF!</v>
      </c>
      <c r="AB97" t="e">
        <f>AND(#REF!,"AAAAAB773Rs=")</f>
        <v>#REF!</v>
      </c>
      <c r="AC97" t="e">
        <f>AND(#REF!,"AAAAAB773Rw=")</f>
        <v>#REF!</v>
      </c>
      <c r="AD97" t="e">
        <f>AND(#REF!,"AAAAAB773R0=")</f>
        <v>#REF!</v>
      </c>
      <c r="AE97" t="e">
        <f>AND(#REF!,"AAAAAB773R4=")</f>
        <v>#REF!</v>
      </c>
      <c r="AF97" t="e">
        <f>AND(#REF!,"AAAAAB773R8=")</f>
        <v>#REF!</v>
      </c>
      <c r="AG97" t="e">
        <f>AND(#REF!,"AAAAAB773SA=")</f>
        <v>#REF!</v>
      </c>
      <c r="AH97" t="e">
        <f>IF(#REF!,"AAAAAB773SE=",0)</f>
        <v>#REF!</v>
      </c>
      <c r="AI97" t="e">
        <f>AND(#REF!,"AAAAAB773SI=")</f>
        <v>#REF!</v>
      </c>
      <c r="AJ97" t="e">
        <f>AND(#REF!,"AAAAAB773SM=")</f>
        <v>#REF!</v>
      </c>
      <c r="AK97" t="e">
        <f>AND(#REF!,"AAAAAB773SQ=")</f>
        <v>#REF!</v>
      </c>
      <c r="AL97" t="e">
        <f>AND(#REF!,"AAAAAB773SU=")</f>
        <v>#REF!</v>
      </c>
      <c r="AM97" t="e">
        <f>AND(#REF!,"AAAAAB773SY=")</f>
        <v>#REF!</v>
      </c>
      <c r="AN97" t="e">
        <f>AND(#REF!,"AAAAAB773Sc=")</f>
        <v>#REF!</v>
      </c>
      <c r="AO97" t="e">
        <f>AND(#REF!,"AAAAAB773Sg=")</f>
        <v>#REF!</v>
      </c>
      <c r="AP97" t="e">
        <f>AND(#REF!,"AAAAAB773Sk=")</f>
        <v>#REF!</v>
      </c>
      <c r="AQ97" t="e">
        <f>AND(#REF!,"AAAAAB773So=")</f>
        <v>#REF!</v>
      </c>
      <c r="AR97" t="e">
        <f>AND(#REF!,"AAAAAB773Ss=")</f>
        <v>#REF!</v>
      </c>
      <c r="AS97" t="e">
        <f>AND(#REF!,"AAAAAB773Sw=")</f>
        <v>#REF!</v>
      </c>
      <c r="AT97" t="e">
        <f>AND(#REF!,"AAAAAB773S0=")</f>
        <v>#REF!</v>
      </c>
      <c r="AU97" t="e">
        <f>AND(#REF!,"AAAAAB773S4=")</f>
        <v>#REF!</v>
      </c>
      <c r="AV97" t="e">
        <f>AND(#REF!,"AAAAAB773S8=")</f>
        <v>#REF!</v>
      </c>
      <c r="AW97" t="e">
        <f>AND(#REF!,"AAAAAB773TA=")</f>
        <v>#REF!</v>
      </c>
      <c r="AX97" t="e">
        <f>AND(#REF!,"AAAAAB773TE=")</f>
        <v>#REF!</v>
      </c>
      <c r="AY97" t="e">
        <f>AND(#REF!,"AAAAAB773TI=")</f>
        <v>#REF!</v>
      </c>
      <c r="AZ97" t="e">
        <f>AND(#REF!,"AAAAAB773TM=")</f>
        <v>#REF!</v>
      </c>
      <c r="BA97" t="e">
        <f>AND(#REF!,"AAAAAB773TQ=")</f>
        <v>#REF!</v>
      </c>
      <c r="BB97" t="e">
        <f>AND(#REF!,"AAAAAB773TU=")</f>
        <v>#REF!</v>
      </c>
      <c r="BC97" t="e">
        <f>AND(#REF!,"AAAAAB773TY=")</f>
        <v>#REF!</v>
      </c>
      <c r="BD97" t="e">
        <f>AND(#REF!,"AAAAAB773Tc=")</f>
        <v>#REF!</v>
      </c>
      <c r="BE97" t="e">
        <f>AND(#REF!,"AAAAAB773Tg=")</f>
        <v>#REF!</v>
      </c>
      <c r="BF97" t="e">
        <f>AND(#REF!,"AAAAAB773Tk=")</f>
        <v>#REF!</v>
      </c>
      <c r="BG97" t="e">
        <f>AND(#REF!,"AAAAAB773To=")</f>
        <v>#REF!</v>
      </c>
      <c r="BH97" t="e">
        <f>AND(#REF!,"AAAAAB773Ts=")</f>
        <v>#REF!</v>
      </c>
      <c r="BI97" t="e">
        <f>IF(#REF!,"AAAAAB773Tw=",0)</f>
        <v>#REF!</v>
      </c>
      <c r="BJ97" t="e">
        <f>AND(#REF!,"AAAAAB773T0=")</f>
        <v>#REF!</v>
      </c>
      <c r="BK97" t="e">
        <f>AND(#REF!,"AAAAAB773T4=")</f>
        <v>#REF!</v>
      </c>
      <c r="BL97" t="e">
        <f>AND(#REF!,"AAAAAB773T8=")</f>
        <v>#REF!</v>
      </c>
      <c r="BM97" t="e">
        <f>AND(#REF!,"AAAAAB773UA=")</f>
        <v>#REF!</v>
      </c>
      <c r="BN97" t="e">
        <f>AND(#REF!,"AAAAAB773UE=")</f>
        <v>#REF!</v>
      </c>
      <c r="BO97" t="e">
        <f>AND(#REF!,"AAAAAB773UI=")</f>
        <v>#REF!</v>
      </c>
      <c r="BP97" t="e">
        <f>AND(#REF!,"AAAAAB773UM=")</f>
        <v>#REF!</v>
      </c>
      <c r="BQ97" t="e">
        <f>AND(#REF!,"AAAAAB773UQ=")</f>
        <v>#REF!</v>
      </c>
      <c r="BR97" t="e">
        <f>AND(#REF!,"AAAAAB773UU=")</f>
        <v>#REF!</v>
      </c>
      <c r="BS97" t="e">
        <f>AND(#REF!,"AAAAAB773UY=")</f>
        <v>#REF!</v>
      </c>
      <c r="BT97" t="e">
        <f>AND(#REF!,"AAAAAB773Uc=")</f>
        <v>#REF!</v>
      </c>
      <c r="BU97" t="e">
        <f>AND(#REF!,"AAAAAB773Ug=")</f>
        <v>#REF!</v>
      </c>
      <c r="BV97" t="e">
        <f>AND(#REF!,"AAAAAB773Uk=")</f>
        <v>#REF!</v>
      </c>
      <c r="BW97" t="e">
        <f>AND(#REF!,"AAAAAB773Uo=")</f>
        <v>#REF!</v>
      </c>
      <c r="BX97" t="e">
        <f>AND(#REF!,"AAAAAB773Us=")</f>
        <v>#REF!</v>
      </c>
      <c r="BY97" t="e">
        <f>AND(#REF!,"AAAAAB773Uw=")</f>
        <v>#REF!</v>
      </c>
      <c r="BZ97" t="e">
        <f>AND(#REF!,"AAAAAB773U0=")</f>
        <v>#REF!</v>
      </c>
      <c r="CA97" t="e">
        <f>AND(#REF!,"AAAAAB773U4=")</f>
        <v>#REF!</v>
      </c>
      <c r="CB97" t="e">
        <f>AND(#REF!,"AAAAAB773U8=")</f>
        <v>#REF!</v>
      </c>
      <c r="CC97" t="e">
        <f>AND(#REF!,"AAAAAB773VA=")</f>
        <v>#REF!</v>
      </c>
      <c r="CD97" t="e">
        <f>AND(#REF!,"AAAAAB773VE=")</f>
        <v>#REF!</v>
      </c>
      <c r="CE97" t="e">
        <f>AND(#REF!,"AAAAAB773VI=")</f>
        <v>#REF!</v>
      </c>
      <c r="CF97" t="e">
        <f>AND(#REF!,"AAAAAB773VM=")</f>
        <v>#REF!</v>
      </c>
      <c r="CG97" t="e">
        <f>AND(#REF!,"AAAAAB773VQ=")</f>
        <v>#REF!</v>
      </c>
      <c r="CH97" t="e">
        <f>AND(#REF!,"AAAAAB773VU=")</f>
        <v>#REF!</v>
      </c>
      <c r="CI97" t="e">
        <f>AND(#REF!,"AAAAAB773VY=")</f>
        <v>#REF!</v>
      </c>
      <c r="CJ97" t="e">
        <f>IF(#REF!,"AAAAAB773Vc=",0)</f>
        <v>#REF!</v>
      </c>
      <c r="CK97" t="e">
        <f>AND(#REF!,"AAAAAB773Vg=")</f>
        <v>#REF!</v>
      </c>
      <c r="CL97" t="e">
        <f>AND(#REF!,"AAAAAB773Vk=")</f>
        <v>#REF!</v>
      </c>
      <c r="CM97" t="e">
        <f>AND(#REF!,"AAAAAB773Vo=")</f>
        <v>#REF!</v>
      </c>
      <c r="CN97" t="e">
        <f>AND(#REF!,"AAAAAB773Vs=")</f>
        <v>#REF!</v>
      </c>
      <c r="CO97" t="e">
        <f>AND(#REF!,"AAAAAB773Vw=")</f>
        <v>#REF!</v>
      </c>
      <c r="CP97" t="e">
        <f>AND(#REF!,"AAAAAB773V0=")</f>
        <v>#REF!</v>
      </c>
      <c r="CQ97" t="e">
        <f>AND(#REF!,"AAAAAB773V4=")</f>
        <v>#REF!</v>
      </c>
      <c r="CR97" t="e">
        <f>AND(#REF!,"AAAAAB773V8=")</f>
        <v>#REF!</v>
      </c>
      <c r="CS97" t="e">
        <f>AND(#REF!,"AAAAAB773WA=")</f>
        <v>#REF!</v>
      </c>
      <c r="CT97" t="e">
        <f>AND(#REF!,"AAAAAB773WE=")</f>
        <v>#REF!</v>
      </c>
      <c r="CU97" t="e">
        <f>AND(#REF!,"AAAAAB773WI=")</f>
        <v>#REF!</v>
      </c>
      <c r="CV97" t="e">
        <f>AND(#REF!,"AAAAAB773WM=")</f>
        <v>#REF!</v>
      </c>
      <c r="CW97" t="e">
        <f>AND(#REF!,"AAAAAB773WQ=")</f>
        <v>#REF!</v>
      </c>
      <c r="CX97" t="e">
        <f>AND(#REF!,"AAAAAB773WU=")</f>
        <v>#REF!</v>
      </c>
      <c r="CY97" t="e">
        <f>AND(#REF!,"AAAAAB773WY=")</f>
        <v>#REF!</v>
      </c>
      <c r="CZ97" t="e">
        <f>AND(#REF!,"AAAAAB773Wc=")</f>
        <v>#REF!</v>
      </c>
      <c r="DA97" t="e">
        <f>AND(#REF!,"AAAAAB773Wg=")</f>
        <v>#REF!</v>
      </c>
      <c r="DB97" t="e">
        <f>AND(#REF!,"AAAAAB773Wk=")</f>
        <v>#REF!</v>
      </c>
      <c r="DC97" t="e">
        <f>AND(#REF!,"AAAAAB773Wo=")</f>
        <v>#REF!</v>
      </c>
      <c r="DD97" t="e">
        <f>AND(#REF!,"AAAAAB773Ws=")</f>
        <v>#REF!</v>
      </c>
      <c r="DE97" t="e">
        <f>AND(#REF!,"AAAAAB773Ww=")</f>
        <v>#REF!</v>
      </c>
      <c r="DF97" t="e">
        <f>AND(#REF!,"AAAAAB773W0=")</f>
        <v>#REF!</v>
      </c>
      <c r="DG97" t="e">
        <f>AND(#REF!,"AAAAAB773W4=")</f>
        <v>#REF!</v>
      </c>
      <c r="DH97" t="e">
        <f>AND(#REF!,"AAAAAB773W8=")</f>
        <v>#REF!</v>
      </c>
      <c r="DI97" t="e">
        <f>AND(#REF!,"AAAAAB773XA=")</f>
        <v>#REF!</v>
      </c>
      <c r="DJ97" t="e">
        <f>AND(#REF!,"AAAAAB773XE=")</f>
        <v>#REF!</v>
      </c>
      <c r="DK97" t="e">
        <f>IF(#REF!,"AAAAAB773XI=",0)</f>
        <v>#REF!</v>
      </c>
      <c r="DL97" t="e">
        <f>AND(#REF!,"AAAAAB773XM=")</f>
        <v>#REF!</v>
      </c>
      <c r="DM97" t="e">
        <f>AND(#REF!,"AAAAAB773XQ=")</f>
        <v>#REF!</v>
      </c>
      <c r="DN97" t="e">
        <f>AND(#REF!,"AAAAAB773XU=")</f>
        <v>#REF!</v>
      </c>
      <c r="DO97" t="e">
        <f>AND(#REF!,"AAAAAB773XY=")</f>
        <v>#REF!</v>
      </c>
      <c r="DP97" t="e">
        <f>AND(#REF!,"AAAAAB773Xc=")</f>
        <v>#REF!</v>
      </c>
      <c r="DQ97" t="e">
        <f>AND(#REF!,"AAAAAB773Xg=")</f>
        <v>#REF!</v>
      </c>
      <c r="DR97" t="e">
        <f>AND(#REF!,"AAAAAB773Xk=")</f>
        <v>#REF!</v>
      </c>
      <c r="DS97" t="e">
        <f>AND(#REF!,"AAAAAB773Xo=")</f>
        <v>#REF!</v>
      </c>
      <c r="DT97" t="e">
        <f>AND(#REF!,"AAAAAB773Xs=")</f>
        <v>#REF!</v>
      </c>
      <c r="DU97" t="e">
        <f>AND(#REF!,"AAAAAB773Xw=")</f>
        <v>#REF!</v>
      </c>
      <c r="DV97" t="e">
        <f>AND(#REF!,"AAAAAB773X0=")</f>
        <v>#REF!</v>
      </c>
      <c r="DW97" t="e">
        <f>AND(#REF!,"AAAAAB773X4=")</f>
        <v>#REF!</v>
      </c>
      <c r="DX97" t="e">
        <f>AND(#REF!,"AAAAAB773X8=")</f>
        <v>#REF!</v>
      </c>
      <c r="DY97" t="e">
        <f>AND(#REF!,"AAAAAB773YA=")</f>
        <v>#REF!</v>
      </c>
      <c r="DZ97" t="e">
        <f>AND(#REF!,"AAAAAB773YE=")</f>
        <v>#REF!</v>
      </c>
      <c r="EA97" t="e">
        <f>AND(#REF!,"AAAAAB773YI=")</f>
        <v>#REF!</v>
      </c>
      <c r="EB97" t="e">
        <f>AND(#REF!,"AAAAAB773YM=")</f>
        <v>#REF!</v>
      </c>
      <c r="EC97" t="e">
        <f>AND(#REF!,"AAAAAB773YQ=")</f>
        <v>#REF!</v>
      </c>
      <c r="ED97" t="e">
        <f>AND(#REF!,"AAAAAB773YU=")</f>
        <v>#REF!</v>
      </c>
      <c r="EE97" t="e">
        <f>AND(#REF!,"AAAAAB773YY=")</f>
        <v>#REF!</v>
      </c>
      <c r="EF97" t="e">
        <f>AND(#REF!,"AAAAAB773Yc=")</f>
        <v>#REF!</v>
      </c>
      <c r="EG97" t="e">
        <f>AND(#REF!,"AAAAAB773Yg=")</f>
        <v>#REF!</v>
      </c>
      <c r="EH97" t="e">
        <f>AND(#REF!,"AAAAAB773Yk=")</f>
        <v>#REF!</v>
      </c>
      <c r="EI97" t="e">
        <f>AND(#REF!,"AAAAAB773Yo=")</f>
        <v>#REF!</v>
      </c>
      <c r="EJ97" t="e">
        <f>AND(#REF!,"AAAAAB773Ys=")</f>
        <v>#REF!</v>
      </c>
      <c r="EK97" t="e">
        <f>AND(#REF!,"AAAAAB773Yw=")</f>
        <v>#REF!</v>
      </c>
      <c r="EL97" t="e">
        <f>IF(#REF!,"AAAAAB773Y0=",0)</f>
        <v>#REF!</v>
      </c>
      <c r="EM97" t="e">
        <f>AND(#REF!,"AAAAAB773Y4=")</f>
        <v>#REF!</v>
      </c>
      <c r="EN97" t="e">
        <f>AND(#REF!,"AAAAAB773Y8=")</f>
        <v>#REF!</v>
      </c>
      <c r="EO97" t="e">
        <f>AND(#REF!,"AAAAAB773ZA=")</f>
        <v>#REF!</v>
      </c>
      <c r="EP97" t="e">
        <f>AND(#REF!,"AAAAAB773ZE=")</f>
        <v>#REF!</v>
      </c>
      <c r="EQ97" t="e">
        <f>AND(#REF!,"AAAAAB773ZI=")</f>
        <v>#REF!</v>
      </c>
      <c r="ER97" t="e">
        <f>AND(#REF!,"AAAAAB773ZM=")</f>
        <v>#REF!</v>
      </c>
      <c r="ES97" t="e">
        <f>AND(#REF!,"AAAAAB773ZQ=")</f>
        <v>#REF!</v>
      </c>
      <c r="ET97" t="e">
        <f>AND(#REF!,"AAAAAB773ZU=")</f>
        <v>#REF!</v>
      </c>
      <c r="EU97" t="e">
        <f>AND(#REF!,"AAAAAB773ZY=")</f>
        <v>#REF!</v>
      </c>
      <c r="EV97" t="e">
        <f>AND(#REF!,"AAAAAB773Zc=")</f>
        <v>#REF!</v>
      </c>
      <c r="EW97" t="e">
        <f>AND(#REF!,"AAAAAB773Zg=")</f>
        <v>#REF!</v>
      </c>
      <c r="EX97" t="e">
        <f>AND(#REF!,"AAAAAB773Zk=")</f>
        <v>#REF!</v>
      </c>
      <c r="EY97" t="e">
        <f>AND(#REF!,"AAAAAB773Zo=")</f>
        <v>#REF!</v>
      </c>
      <c r="EZ97" t="e">
        <f>AND(#REF!,"AAAAAB773Zs=")</f>
        <v>#REF!</v>
      </c>
      <c r="FA97" t="e">
        <f>AND(#REF!,"AAAAAB773Zw=")</f>
        <v>#REF!</v>
      </c>
      <c r="FB97" t="e">
        <f>AND(#REF!,"AAAAAB773Z0=")</f>
        <v>#REF!</v>
      </c>
      <c r="FC97" t="e">
        <f>AND(#REF!,"AAAAAB773Z4=")</f>
        <v>#REF!</v>
      </c>
      <c r="FD97" t="e">
        <f>AND(#REF!,"AAAAAB773Z8=")</f>
        <v>#REF!</v>
      </c>
      <c r="FE97" t="e">
        <f>AND(#REF!,"AAAAAB773aA=")</f>
        <v>#REF!</v>
      </c>
      <c r="FF97" t="e">
        <f>AND(#REF!,"AAAAAB773aE=")</f>
        <v>#REF!</v>
      </c>
      <c r="FG97" t="e">
        <f>AND(#REF!,"AAAAAB773aI=")</f>
        <v>#REF!</v>
      </c>
      <c r="FH97" t="e">
        <f>AND(#REF!,"AAAAAB773aM=")</f>
        <v>#REF!</v>
      </c>
      <c r="FI97" t="e">
        <f>AND(#REF!,"AAAAAB773aQ=")</f>
        <v>#REF!</v>
      </c>
      <c r="FJ97" t="e">
        <f>AND(#REF!,"AAAAAB773aU=")</f>
        <v>#REF!</v>
      </c>
      <c r="FK97" t="e">
        <f>AND(#REF!,"AAAAAB773aY=")</f>
        <v>#REF!</v>
      </c>
      <c r="FL97" t="e">
        <f>AND(#REF!,"AAAAAB773ac=")</f>
        <v>#REF!</v>
      </c>
      <c r="FM97" t="e">
        <f>IF(#REF!,"AAAAAB773ag=",0)</f>
        <v>#REF!</v>
      </c>
      <c r="FN97" t="e">
        <f>AND(#REF!,"AAAAAB773ak=")</f>
        <v>#REF!</v>
      </c>
      <c r="FO97" t="e">
        <f>AND(#REF!,"AAAAAB773ao=")</f>
        <v>#REF!</v>
      </c>
      <c r="FP97" t="e">
        <f>AND(#REF!,"AAAAAB773as=")</f>
        <v>#REF!</v>
      </c>
      <c r="FQ97" t="e">
        <f>AND(#REF!,"AAAAAB773aw=")</f>
        <v>#REF!</v>
      </c>
      <c r="FR97" t="e">
        <f>AND(#REF!,"AAAAAB773a0=")</f>
        <v>#REF!</v>
      </c>
      <c r="FS97" t="e">
        <f>AND(#REF!,"AAAAAB773a4=")</f>
        <v>#REF!</v>
      </c>
      <c r="FT97" t="e">
        <f>AND(#REF!,"AAAAAB773a8=")</f>
        <v>#REF!</v>
      </c>
      <c r="FU97" t="e">
        <f>AND(#REF!,"AAAAAB773bA=")</f>
        <v>#REF!</v>
      </c>
      <c r="FV97" t="e">
        <f>AND(#REF!,"AAAAAB773bE=")</f>
        <v>#REF!</v>
      </c>
      <c r="FW97" t="e">
        <f>AND(#REF!,"AAAAAB773bI=")</f>
        <v>#REF!</v>
      </c>
      <c r="FX97" t="e">
        <f>AND(#REF!,"AAAAAB773bM=")</f>
        <v>#REF!</v>
      </c>
      <c r="FY97" t="e">
        <f>AND(#REF!,"AAAAAB773bQ=")</f>
        <v>#REF!</v>
      </c>
      <c r="FZ97" t="e">
        <f>AND(#REF!,"AAAAAB773bU=")</f>
        <v>#REF!</v>
      </c>
      <c r="GA97" t="e">
        <f>AND(#REF!,"AAAAAB773bY=")</f>
        <v>#REF!</v>
      </c>
      <c r="GB97" t="e">
        <f>AND(#REF!,"AAAAAB773bc=")</f>
        <v>#REF!</v>
      </c>
      <c r="GC97" t="e">
        <f>AND(#REF!,"AAAAAB773bg=")</f>
        <v>#REF!</v>
      </c>
      <c r="GD97" t="e">
        <f>AND(#REF!,"AAAAAB773bk=")</f>
        <v>#REF!</v>
      </c>
      <c r="GE97" t="e">
        <f>AND(#REF!,"AAAAAB773bo=")</f>
        <v>#REF!</v>
      </c>
      <c r="GF97" t="e">
        <f>AND(#REF!,"AAAAAB773bs=")</f>
        <v>#REF!</v>
      </c>
      <c r="GG97" t="e">
        <f>AND(#REF!,"AAAAAB773bw=")</f>
        <v>#REF!</v>
      </c>
      <c r="GH97" t="e">
        <f>AND(#REF!,"AAAAAB773b0=")</f>
        <v>#REF!</v>
      </c>
      <c r="GI97" t="e">
        <f>AND(#REF!,"AAAAAB773b4=")</f>
        <v>#REF!</v>
      </c>
      <c r="GJ97" t="e">
        <f>AND(#REF!,"AAAAAB773b8=")</f>
        <v>#REF!</v>
      </c>
      <c r="GK97" t="e">
        <f>AND(#REF!,"AAAAAB773cA=")</f>
        <v>#REF!</v>
      </c>
      <c r="GL97" t="e">
        <f>AND(#REF!,"AAAAAB773cE=")</f>
        <v>#REF!</v>
      </c>
      <c r="GM97" t="e">
        <f>AND(#REF!,"AAAAAB773cI=")</f>
        <v>#REF!</v>
      </c>
      <c r="GN97" t="e">
        <f>IF(#REF!,"AAAAAB773cM=",0)</f>
        <v>#REF!</v>
      </c>
      <c r="GO97" t="e">
        <f>AND(#REF!,"AAAAAB773cQ=")</f>
        <v>#REF!</v>
      </c>
      <c r="GP97" t="e">
        <f>AND(#REF!,"AAAAAB773cU=")</f>
        <v>#REF!</v>
      </c>
      <c r="GQ97" t="e">
        <f>AND(#REF!,"AAAAAB773cY=")</f>
        <v>#REF!</v>
      </c>
      <c r="GR97" t="e">
        <f>AND(#REF!,"AAAAAB773cc=")</f>
        <v>#REF!</v>
      </c>
      <c r="GS97" t="e">
        <f>AND(#REF!,"AAAAAB773cg=")</f>
        <v>#REF!</v>
      </c>
      <c r="GT97" t="e">
        <f>AND(#REF!,"AAAAAB773ck=")</f>
        <v>#REF!</v>
      </c>
      <c r="GU97" t="e">
        <f>AND(#REF!,"AAAAAB773co=")</f>
        <v>#REF!</v>
      </c>
      <c r="GV97" t="e">
        <f>AND(#REF!,"AAAAAB773cs=")</f>
        <v>#REF!</v>
      </c>
      <c r="GW97" t="e">
        <f>AND(#REF!,"AAAAAB773cw=")</f>
        <v>#REF!</v>
      </c>
      <c r="GX97" t="e">
        <f>AND(#REF!,"AAAAAB773c0=")</f>
        <v>#REF!</v>
      </c>
      <c r="GY97" t="e">
        <f>AND(#REF!,"AAAAAB773c4=")</f>
        <v>#REF!</v>
      </c>
      <c r="GZ97" t="e">
        <f>AND(#REF!,"AAAAAB773c8=")</f>
        <v>#REF!</v>
      </c>
      <c r="HA97" t="e">
        <f>AND(#REF!,"AAAAAB773dA=")</f>
        <v>#REF!</v>
      </c>
      <c r="HB97" t="e">
        <f>AND(#REF!,"AAAAAB773dE=")</f>
        <v>#REF!</v>
      </c>
      <c r="HC97" t="e">
        <f>AND(#REF!,"AAAAAB773dI=")</f>
        <v>#REF!</v>
      </c>
      <c r="HD97" t="e">
        <f>AND(#REF!,"AAAAAB773dM=")</f>
        <v>#REF!</v>
      </c>
      <c r="HE97" t="e">
        <f>AND(#REF!,"AAAAAB773dQ=")</f>
        <v>#REF!</v>
      </c>
      <c r="HF97" t="e">
        <f>AND(#REF!,"AAAAAB773dU=")</f>
        <v>#REF!</v>
      </c>
      <c r="HG97" t="e">
        <f>AND(#REF!,"AAAAAB773dY=")</f>
        <v>#REF!</v>
      </c>
      <c r="HH97" t="e">
        <f>AND(#REF!,"AAAAAB773dc=")</f>
        <v>#REF!</v>
      </c>
      <c r="HI97" t="e">
        <f>AND(#REF!,"AAAAAB773dg=")</f>
        <v>#REF!</v>
      </c>
      <c r="HJ97" t="e">
        <f>AND(#REF!,"AAAAAB773dk=")</f>
        <v>#REF!</v>
      </c>
      <c r="HK97" t="e">
        <f>AND(#REF!,"AAAAAB773do=")</f>
        <v>#REF!</v>
      </c>
      <c r="HL97" t="e">
        <f>AND(#REF!,"AAAAAB773ds=")</f>
        <v>#REF!</v>
      </c>
      <c r="HM97" t="e">
        <f>AND(#REF!,"AAAAAB773dw=")</f>
        <v>#REF!</v>
      </c>
      <c r="HN97" t="e">
        <f>AND(#REF!,"AAAAAB773d0=")</f>
        <v>#REF!</v>
      </c>
      <c r="HO97" t="e">
        <f>IF(#REF!,"AAAAAB773d4=",0)</f>
        <v>#REF!</v>
      </c>
      <c r="HP97" t="e">
        <f>AND(#REF!,"AAAAAB773d8=")</f>
        <v>#REF!</v>
      </c>
      <c r="HQ97" t="e">
        <f>AND(#REF!,"AAAAAB773eA=")</f>
        <v>#REF!</v>
      </c>
      <c r="HR97" t="e">
        <f>AND(#REF!,"AAAAAB773eE=")</f>
        <v>#REF!</v>
      </c>
      <c r="HS97" t="e">
        <f>AND(#REF!,"AAAAAB773eI=")</f>
        <v>#REF!</v>
      </c>
      <c r="HT97" t="e">
        <f>AND(#REF!,"AAAAAB773eM=")</f>
        <v>#REF!</v>
      </c>
      <c r="HU97" t="e">
        <f>AND(#REF!,"AAAAAB773eQ=")</f>
        <v>#REF!</v>
      </c>
      <c r="HV97" t="e">
        <f>AND(#REF!,"AAAAAB773eU=")</f>
        <v>#REF!</v>
      </c>
      <c r="HW97" t="e">
        <f>AND(#REF!,"AAAAAB773eY=")</f>
        <v>#REF!</v>
      </c>
      <c r="HX97" t="e">
        <f>AND(#REF!,"AAAAAB773ec=")</f>
        <v>#REF!</v>
      </c>
      <c r="HY97" t="e">
        <f>AND(#REF!,"AAAAAB773eg=")</f>
        <v>#REF!</v>
      </c>
      <c r="HZ97" t="e">
        <f>AND(#REF!,"AAAAAB773ek=")</f>
        <v>#REF!</v>
      </c>
      <c r="IA97" t="e">
        <f>AND(#REF!,"AAAAAB773eo=")</f>
        <v>#REF!</v>
      </c>
      <c r="IB97" t="e">
        <f>AND(#REF!,"AAAAAB773es=")</f>
        <v>#REF!</v>
      </c>
      <c r="IC97" t="e">
        <f>AND(#REF!,"AAAAAB773ew=")</f>
        <v>#REF!</v>
      </c>
      <c r="ID97" t="e">
        <f>AND(#REF!,"AAAAAB773e0=")</f>
        <v>#REF!</v>
      </c>
      <c r="IE97" t="e">
        <f>AND(#REF!,"AAAAAB773e4=")</f>
        <v>#REF!</v>
      </c>
      <c r="IF97" t="e">
        <f>AND(#REF!,"AAAAAB773e8=")</f>
        <v>#REF!</v>
      </c>
      <c r="IG97" t="e">
        <f>AND(#REF!,"AAAAAB773fA=")</f>
        <v>#REF!</v>
      </c>
      <c r="IH97" t="e">
        <f>AND(#REF!,"AAAAAB773fE=")</f>
        <v>#REF!</v>
      </c>
      <c r="II97" t="e">
        <f>AND(#REF!,"AAAAAB773fI=")</f>
        <v>#REF!</v>
      </c>
      <c r="IJ97" t="e">
        <f>AND(#REF!,"AAAAAB773fM=")</f>
        <v>#REF!</v>
      </c>
      <c r="IK97" t="e">
        <f>AND(#REF!,"AAAAAB773fQ=")</f>
        <v>#REF!</v>
      </c>
      <c r="IL97" t="e">
        <f>AND(#REF!,"AAAAAB773fU=")</f>
        <v>#REF!</v>
      </c>
      <c r="IM97" t="e">
        <f>AND(#REF!,"AAAAAB773fY=")</f>
        <v>#REF!</v>
      </c>
      <c r="IN97" t="e">
        <f>AND(#REF!,"AAAAAB773fc=")</f>
        <v>#REF!</v>
      </c>
      <c r="IO97" t="e">
        <f>AND(#REF!,"AAAAAB773fg=")</f>
        <v>#REF!</v>
      </c>
      <c r="IP97" t="e">
        <f>IF(#REF!,"AAAAAB773fk=",0)</f>
        <v>#REF!</v>
      </c>
      <c r="IQ97" t="e">
        <f>AND(#REF!,"AAAAAB773fo=")</f>
        <v>#REF!</v>
      </c>
      <c r="IR97" t="e">
        <f>AND(#REF!,"AAAAAB773fs=")</f>
        <v>#REF!</v>
      </c>
      <c r="IS97" t="e">
        <f>AND(#REF!,"AAAAAB773fw=")</f>
        <v>#REF!</v>
      </c>
      <c r="IT97" t="e">
        <f>AND(#REF!,"AAAAAB773f0=")</f>
        <v>#REF!</v>
      </c>
      <c r="IU97" t="e">
        <f>AND(#REF!,"AAAAAB773f4=")</f>
        <v>#REF!</v>
      </c>
      <c r="IV97" t="e">
        <f>AND(#REF!,"AAAAAB773f8=")</f>
        <v>#REF!</v>
      </c>
    </row>
    <row r="98" spans="1:256" x14ac:dyDescent="0.2">
      <c r="A98" t="e">
        <f>AND(#REF!,"AAAAAF/wvwA=")</f>
        <v>#REF!</v>
      </c>
      <c r="B98" t="e">
        <f>AND(#REF!,"AAAAAF/wvwE=")</f>
        <v>#REF!</v>
      </c>
      <c r="C98" t="e">
        <f>AND(#REF!,"AAAAAF/wvwI=")</f>
        <v>#REF!</v>
      </c>
      <c r="D98" t="e">
        <f>AND(#REF!,"AAAAAF/wvwM=")</f>
        <v>#REF!</v>
      </c>
      <c r="E98" t="e">
        <f>AND(#REF!,"AAAAAF/wvwQ=")</f>
        <v>#REF!</v>
      </c>
      <c r="F98" t="e">
        <f>AND(#REF!,"AAAAAF/wvwU=")</f>
        <v>#REF!</v>
      </c>
      <c r="G98" t="e">
        <f>AND(#REF!,"AAAAAF/wvwY=")</f>
        <v>#REF!</v>
      </c>
      <c r="H98" t="e">
        <f>AND(#REF!,"AAAAAF/wvwc=")</f>
        <v>#REF!</v>
      </c>
      <c r="I98" t="e">
        <f>AND(#REF!,"AAAAAF/wvwg=")</f>
        <v>#REF!</v>
      </c>
      <c r="J98" t="e">
        <f>AND(#REF!,"AAAAAF/wvwk=")</f>
        <v>#REF!</v>
      </c>
      <c r="K98" t="e">
        <f>AND(#REF!,"AAAAAF/wvwo=")</f>
        <v>#REF!</v>
      </c>
      <c r="L98" t="e">
        <f>AND(#REF!,"AAAAAF/wvws=")</f>
        <v>#REF!</v>
      </c>
      <c r="M98" t="e">
        <f>AND(#REF!,"AAAAAF/wvww=")</f>
        <v>#REF!</v>
      </c>
      <c r="N98" t="e">
        <f>AND(#REF!,"AAAAAF/wvw0=")</f>
        <v>#REF!</v>
      </c>
      <c r="O98" t="e">
        <f>AND(#REF!,"AAAAAF/wvw4=")</f>
        <v>#REF!</v>
      </c>
      <c r="P98" t="e">
        <f>AND(#REF!,"AAAAAF/wvw8=")</f>
        <v>#REF!</v>
      </c>
      <c r="Q98" t="e">
        <f>AND(#REF!,"AAAAAF/wvxA=")</f>
        <v>#REF!</v>
      </c>
      <c r="R98" t="e">
        <f>AND(#REF!,"AAAAAF/wvxE=")</f>
        <v>#REF!</v>
      </c>
      <c r="S98" t="e">
        <f>AND(#REF!,"AAAAAF/wvxI=")</f>
        <v>#REF!</v>
      </c>
      <c r="T98" t="e">
        <f>AND(#REF!,"AAAAAF/wvxM=")</f>
        <v>#REF!</v>
      </c>
      <c r="U98" t="e">
        <f>IF(#REF!,"AAAAAF/wvxQ=",0)</f>
        <v>#REF!</v>
      </c>
      <c r="V98" t="e">
        <f>AND(#REF!,"AAAAAF/wvxU=")</f>
        <v>#REF!</v>
      </c>
      <c r="W98" t="e">
        <f>AND(#REF!,"AAAAAF/wvxY=")</f>
        <v>#REF!</v>
      </c>
      <c r="X98" t="e">
        <f>AND(#REF!,"AAAAAF/wvxc=")</f>
        <v>#REF!</v>
      </c>
      <c r="Y98" t="e">
        <f>AND(#REF!,"AAAAAF/wvxg=")</f>
        <v>#REF!</v>
      </c>
      <c r="Z98" t="e">
        <f>AND(#REF!,"AAAAAF/wvxk=")</f>
        <v>#REF!</v>
      </c>
      <c r="AA98" t="e">
        <f>AND(#REF!,"AAAAAF/wvxo=")</f>
        <v>#REF!</v>
      </c>
      <c r="AB98" t="e">
        <f>AND(#REF!,"AAAAAF/wvxs=")</f>
        <v>#REF!</v>
      </c>
      <c r="AC98" t="e">
        <f>AND(#REF!,"AAAAAF/wvxw=")</f>
        <v>#REF!</v>
      </c>
      <c r="AD98" t="e">
        <f>AND(#REF!,"AAAAAF/wvx0=")</f>
        <v>#REF!</v>
      </c>
      <c r="AE98" t="e">
        <f>AND(#REF!,"AAAAAF/wvx4=")</f>
        <v>#REF!</v>
      </c>
      <c r="AF98" t="e">
        <f>AND(#REF!,"AAAAAF/wvx8=")</f>
        <v>#REF!</v>
      </c>
      <c r="AG98" t="e">
        <f>AND(#REF!,"AAAAAF/wvyA=")</f>
        <v>#REF!</v>
      </c>
      <c r="AH98" t="e">
        <f>AND(#REF!,"AAAAAF/wvyE=")</f>
        <v>#REF!</v>
      </c>
      <c r="AI98" t="e">
        <f>AND(#REF!,"AAAAAF/wvyI=")</f>
        <v>#REF!</v>
      </c>
      <c r="AJ98" t="e">
        <f>AND(#REF!,"AAAAAF/wvyM=")</f>
        <v>#REF!</v>
      </c>
      <c r="AK98" t="e">
        <f>AND(#REF!,"AAAAAF/wvyQ=")</f>
        <v>#REF!</v>
      </c>
      <c r="AL98" t="e">
        <f>AND(#REF!,"AAAAAF/wvyU=")</f>
        <v>#REF!</v>
      </c>
      <c r="AM98" t="e">
        <f>AND(#REF!,"AAAAAF/wvyY=")</f>
        <v>#REF!</v>
      </c>
      <c r="AN98" t="e">
        <f>AND(#REF!,"AAAAAF/wvyc=")</f>
        <v>#REF!</v>
      </c>
      <c r="AO98" t="e">
        <f>AND(#REF!,"AAAAAF/wvyg=")</f>
        <v>#REF!</v>
      </c>
      <c r="AP98" t="e">
        <f>AND(#REF!,"AAAAAF/wvyk=")</f>
        <v>#REF!</v>
      </c>
      <c r="AQ98" t="e">
        <f>AND(#REF!,"AAAAAF/wvyo=")</f>
        <v>#REF!</v>
      </c>
      <c r="AR98" t="e">
        <f>AND(#REF!,"AAAAAF/wvys=")</f>
        <v>#REF!</v>
      </c>
      <c r="AS98" t="e">
        <f>AND(#REF!,"AAAAAF/wvyw=")</f>
        <v>#REF!</v>
      </c>
      <c r="AT98" t="e">
        <f>AND(#REF!,"AAAAAF/wvy0=")</f>
        <v>#REF!</v>
      </c>
      <c r="AU98" t="e">
        <f>AND(#REF!,"AAAAAF/wvy4=")</f>
        <v>#REF!</v>
      </c>
      <c r="AV98" t="e">
        <f>IF(#REF!,"AAAAAF/wvy8=",0)</f>
        <v>#REF!</v>
      </c>
      <c r="AW98" t="e">
        <f>AND(#REF!,"AAAAAF/wvzA=")</f>
        <v>#REF!</v>
      </c>
      <c r="AX98" t="e">
        <f>AND(#REF!,"AAAAAF/wvzE=")</f>
        <v>#REF!</v>
      </c>
      <c r="AY98" t="e">
        <f>AND(#REF!,"AAAAAF/wvzI=")</f>
        <v>#REF!</v>
      </c>
      <c r="AZ98" t="e">
        <f>AND(#REF!,"AAAAAF/wvzM=")</f>
        <v>#REF!</v>
      </c>
      <c r="BA98" t="e">
        <f>AND(#REF!,"AAAAAF/wvzQ=")</f>
        <v>#REF!</v>
      </c>
      <c r="BB98" t="e">
        <f>AND(#REF!,"AAAAAF/wvzU=")</f>
        <v>#REF!</v>
      </c>
      <c r="BC98" t="e">
        <f>AND(#REF!,"AAAAAF/wvzY=")</f>
        <v>#REF!</v>
      </c>
      <c r="BD98" t="e">
        <f>AND(#REF!,"AAAAAF/wvzc=")</f>
        <v>#REF!</v>
      </c>
      <c r="BE98" t="e">
        <f>AND(#REF!,"AAAAAF/wvzg=")</f>
        <v>#REF!</v>
      </c>
      <c r="BF98" t="e">
        <f>AND(#REF!,"AAAAAF/wvzk=")</f>
        <v>#REF!</v>
      </c>
      <c r="BG98" t="e">
        <f>AND(#REF!,"AAAAAF/wvzo=")</f>
        <v>#REF!</v>
      </c>
      <c r="BH98" t="e">
        <f>AND(#REF!,"AAAAAF/wvzs=")</f>
        <v>#REF!</v>
      </c>
      <c r="BI98" t="e">
        <f>AND(#REF!,"AAAAAF/wvzw=")</f>
        <v>#REF!</v>
      </c>
      <c r="BJ98" t="e">
        <f>AND(#REF!,"AAAAAF/wvz0=")</f>
        <v>#REF!</v>
      </c>
      <c r="BK98" t="e">
        <f>AND(#REF!,"AAAAAF/wvz4=")</f>
        <v>#REF!</v>
      </c>
      <c r="BL98" t="e">
        <f>AND(#REF!,"AAAAAF/wvz8=")</f>
        <v>#REF!</v>
      </c>
      <c r="BM98" t="e">
        <f>AND(#REF!,"AAAAAF/wv0A=")</f>
        <v>#REF!</v>
      </c>
      <c r="BN98" t="e">
        <f>AND(#REF!,"AAAAAF/wv0E=")</f>
        <v>#REF!</v>
      </c>
      <c r="BO98" t="e">
        <f>AND(#REF!,"AAAAAF/wv0I=")</f>
        <v>#REF!</v>
      </c>
      <c r="BP98" t="e">
        <f>AND(#REF!,"AAAAAF/wv0M=")</f>
        <v>#REF!</v>
      </c>
      <c r="BQ98" t="e">
        <f>AND(#REF!,"AAAAAF/wv0Q=")</f>
        <v>#REF!</v>
      </c>
      <c r="BR98" t="e">
        <f>AND(#REF!,"AAAAAF/wv0U=")</f>
        <v>#REF!</v>
      </c>
      <c r="BS98" t="e">
        <f>AND(#REF!,"AAAAAF/wv0Y=")</f>
        <v>#REF!</v>
      </c>
      <c r="BT98" t="e">
        <f>AND(#REF!,"AAAAAF/wv0c=")</f>
        <v>#REF!</v>
      </c>
      <c r="BU98" t="e">
        <f>AND(#REF!,"AAAAAF/wv0g=")</f>
        <v>#REF!</v>
      </c>
      <c r="BV98" t="e">
        <f>AND(#REF!,"AAAAAF/wv0k=")</f>
        <v>#REF!</v>
      </c>
      <c r="BW98" t="e">
        <f>IF(#REF!,"AAAAAF/wv0o=",0)</f>
        <v>#REF!</v>
      </c>
      <c r="BX98" t="e">
        <f>AND(#REF!,"AAAAAF/wv0s=")</f>
        <v>#REF!</v>
      </c>
      <c r="BY98" t="e">
        <f>AND(#REF!,"AAAAAF/wv0w=")</f>
        <v>#REF!</v>
      </c>
      <c r="BZ98" t="e">
        <f>AND(#REF!,"AAAAAF/wv00=")</f>
        <v>#REF!</v>
      </c>
      <c r="CA98" t="e">
        <f>AND(#REF!,"AAAAAF/wv04=")</f>
        <v>#REF!</v>
      </c>
      <c r="CB98" t="e">
        <f>AND(#REF!,"AAAAAF/wv08=")</f>
        <v>#REF!</v>
      </c>
      <c r="CC98" t="e">
        <f>AND(#REF!,"AAAAAF/wv1A=")</f>
        <v>#REF!</v>
      </c>
      <c r="CD98" t="e">
        <f>AND(#REF!,"AAAAAF/wv1E=")</f>
        <v>#REF!</v>
      </c>
      <c r="CE98" t="e">
        <f>AND(#REF!,"AAAAAF/wv1I=")</f>
        <v>#REF!</v>
      </c>
      <c r="CF98" t="e">
        <f>AND(#REF!,"AAAAAF/wv1M=")</f>
        <v>#REF!</v>
      </c>
      <c r="CG98" t="e">
        <f>AND(#REF!,"AAAAAF/wv1Q=")</f>
        <v>#REF!</v>
      </c>
      <c r="CH98" t="e">
        <f>AND(#REF!,"AAAAAF/wv1U=")</f>
        <v>#REF!</v>
      </c>
      <c r="CI98" t="e">
        <f>AND(#REF!,"AAAAAF/wv1Y=")</f>
        <v>#REF!</v>
      </c>
      <c r="CJ98" t="e">
        <f>AND(#REF!,"AAAAAF/wv1c=")</f>
        <v>#REF!</v>
      </c>
      <c r="CK98" t="e">
        <f>AND(#REF!,"AAAAAF/wv1g=")</f>
        <v>#REF!</v>
      </c>
      <c r="CL98" t="e">
        <f>AND(#REF!,"AAAAAF/wv1k=")</f>
        <v>#REF!</v>
      </c>
      <c r="CM98" t="e">
        <f>AND(#REF!,"AAAAAF/wv1o=")</f>
        <v>#REF!</v>
      </c>
      <c r="CN98" t="e">
        <f>AND(#REF!,"AAAAAF/wv1s=")</f>
        <v>#REF!</v>
      </c>
      <c r="CO98" t="e">
        <f>AND(#REF!,"AAAAAF/wv1w=")</f>
        <v>#REF!</v>
      </c>
      <c r="CP98" t="e">
        <f>AND(#REF!,"AAAAAF/wv10=")</f>
        <v>#REF!</v>
      </c>
      <c r="CQ98" t="e">
        <f>AND(#REF!,"AAAAAF/wv14=")</f>
        <v>#REF!</v>
      </c>
      <c r="CR98" t="e">
        <f>AND(#REF!,"AAAAAF/wv18=")</f>
        <v>#REF!</v>
      </c>
      <c r="CS98" t="e">
        <f>AND(#REF!,"AAAAAF/wv2A=")</f>
        <v>#REF!</v>
      </c>
      <c r="CT98" t="e">
        <f>AND(#REF!,"AAAAAF/wv2E=")</f>
        <v>#REF!</v>
      </c>
      <c r="CU98" t="e">
        <f>AND(#REF!,"AAAAAF/wv2I=")</f>
        <v>#REF!</v>
      </c>
      <c r="CV98" t="e">
        <f>AND(#REF!,"AAAAAF/wv2M=")</f>
        <v>#REF!</v>
      </c>
      <c r="CW98" t="e">
        <f>AND(#REF!,"AAAAAF/wv2Q=")</f>
        <v>#REF!</v>
      </c>
      <c r="CX98" t="e">
        <f>IF(#REF!,"AAAAAF/wv2U=",0)</f>
        <v>#REF!</v>
      </c>
      <c r="CY98" t="e">
        <f>AND(#REF!,"AAAAAF/wv2Y=")</f>
        <v>#REF!</v>
      </c>
      <c r="CZ98" t="e">
        <f>AND(#REF!,"AAAAAF/wv2c=")</f>
        <v>#REF!</v>
      </c>
      <c r="DA98" t="e">
        <f>AND(#REF!,"AAAAAF/wv2g=")</f>
        <v>#REF!</v>
      </c>
      <c r="DB98" t="e">
        <f>AND(#REF!,"AAAAAF/wv2k=")</f>
        <v>#REF!</v>
      </c>
      <c r="DC98" t="e">
        <f>AND(#REF!,"AAAAAF/wv2o=")</f>
        <v>#REF!</v>
      </c>
      <c r="DD98" t="e">
        <f>AND(#REF!,"AAAAAF/wv2s=")</f>
        <v>#REF!</v>
      </c>
      <c r="DE98" t="e">
        <f>AND(#REF!,"AAAAAF/wv2w=")</f>
        <v>#REF!</v>
      </c>
      <c r="DF98" t="e">
        <f>AND(#REF!,"AAAAAF/wv20=")</f>
        <v>#REF!</v>
      </c>
      <c r="DG98" t="e">
        <f>AND(#REF!,"AAAAAF/wv24=")</f>
        <v>#REF!</v>
      </c>
      <c r="DH98" t="e">
        <f>AND(#REF!,"AAAAAF/wv28=")</f>
        <v>#REF!</v>
      </c>
      <c r="DI98" t="e">
        <f>AND(#REF!,"AAAAAF/wv3A=")</f>
        <v>#REF!</v>
      </c>
      <c r="DJ98" t="e">
        <f>AND(#REF!,"AAAAAF/wv3E=")</f>
        <v>#REF!</v>
      </c>
      <c r="DK98" t="e">
        <f>AND(#REF!,"AAAAAF/wv3I=")</f>
        <v>#REF!</v>
      </c>
      <c r="DL98" t="e">
        <f>AND(#REF!,"AAAAAF/wv3M=")</f>
        <v>#REF!</v>
      </c>
      <c r="DM98" t="e">
        <f>AND(#REF!,"AAAAAF/wv3Q=")</f>
        <v>#REF!</v>
      </c>
      <c r="DN98" t="e">
        <f>AND(#REF!,"AAAAAF/wv3U=")</f>
        <v>#REF!</v>
      </c>
      <c r="DO98" t="e">
        <f>AND(#REF!,"AAAAAF/wv3Y=")</f>
        <v>#REF!</v>
      </c>
      <c r="DP98" t="e">
        <f>AND(#REF!,"AAAAAF/wv3c=")</f>
        <v>#REF!</v>
      </c>
      <c r="DQ98" t="e">
        <f>AND(#REF!,"AAAAAF/wv3g=")</f>
        <v>#REF!</v>
      </c>
      <c r="DR98" t="e">
        <f>AND(#REF!,"AAAAAF/wv3k=")</f>
        <v>#REF!</v>
      </c>
      <c r="DS98" t="e">
        <f>AND(#REF!,"AAAAAF/wv3o=")</f>
        <v>#REF!</v>
      </c>
      <c r="DT98" t="e">
        <f>AND(#REF!,"AAAAAF/wv3s=")</f>
        <v>#REF!</v>
      </c>
      <c r="DU98" t="e">
        <f>AND(#REF!,"AAAAAF/wv3w=")</f>
        <v>#REF!</v>
      </c>
      <c r="DV98" t="e">
        <f>AND(#REF!,"AAAAAF/wv30=")</f>
        <v>#REF!</v>
      </c>
      <c r="DW98" t="e">
        <f>AND(#REF!,"AAAAAF/wv34=")</f>
        <v>#REF!</v>
      </c>
      <c r="DX98" t="e">
        <f>AND(#REF!,"AAAAAF/wv38=")</f>
        <v>#REF!</v>
      </c>
      <c r="DY98" t="e">
        <f>IF(#REF!,"AAAAAF/wv4A=",0)</f>
        <v>#REF!</v>
      </c>
      <c r="DZ98" t="e">
        <f>AND(#REF!,"AAAAAF/wv4E=")</f>
        <v>#REF!</v>
      </c>
      <c r="EA98" t="e">
        <f>AND(#REF!,"AAAAAF/wv4I=")</f>
        <v>#REF!</v>
      </c>
      <c r="EB98" t="e">
        <f>AND(#REF!,"AAAAAF/wv4M=")</f>
        <v>#REF!</v>
      </c>
      <c r="EC98" t="e">
        <f>AND(#REF!,"AAAAAF/wv4Q=")</f>
        <v>#REF!</v>
      </c>
      <c r="ED98" t="e">
        <f>AND(#REF!,"AAAAAF/wv4U=")</f>
        <v>#REF!</v>
      </c>
      <c r="EE98" t="e">
        <f>AND(#REF!,"AAAAAF/wv4Y=")</f>
        <v>#REF!</v>
      </c>
      <c r="EF98" t="e">
        <f>AND(#REF!,"AAAAAF/wv4c=")</f>
        <v>#REF!</v>
      </c>
      <c r="EG98" t="e">
        <f>AND(#REF!,"AAAAAF/wv4g=")</f>
        <v>#REF!</v>
      </c>
      <c r="EH98" t="e">
        <f>AND(#REF!,"AAAAAF/wv4k=")</f>
        <v>#REF!</v>
      </c>
      <c r="EI98" t="e">
        <f>AND(#REF!,"AAAAAF/wv4o=")</f>
        <v>#REF!</v>
      </c>
      <c r="EJ98" t="e">
        <f>AND(#REF!,"AAAAAF/wv4s=")</f>
        <v>#REF!</v>
      </c>
      <c r="EK98" t="e">
        <f>AND(#REF!,"AAAAAF/wv4w=")</f>
        <v>#REF!</v>
      </c>
      <c r="EL98" t="e">
        <f>AND(#REF!,"AAAAAF/wv40=")</f>
        <v>#REF!</v>
      </c>
      <c r="EM98" t="e">
        <f>AND(#REF!,"AAAAAF/wv44=")</f>
        <v>#REF!</v>
      </c>
      <c r="EN98" t="e">
        <f>AND(#REF!,"AAAAAF/wv48=")</f>
        <v>#REF!</v>
      </c>
      <c r="EO98" t="e">
        <f>AND(#REF!,"AAAAAF/wv5A=")</f>
        <v>#REF!</v>
      </c>
      <c r="EP98" t="e">
        <f>AND(#REF!,"AAAAAF/wv5E=")</f>
        <v>#REF!</v>
      </c>
      <c r="EQ98" t="e">
        <f>AND(#REF!,"AAAAAF/wv5I=")</f>
        <v>#REF!</v>
      </c>
      <c r="ER98" t="e">
        <f>AND(#REF!,"AAAAAF/wv5M=")</f>
        <v>#REF!</v>
      </c>
      <c r="ES98" t="e">
        <f>AND(#REF!,"AAAAAF/wv5Q=")</f>
        <v>#REF!</v>
      </c>
      <c r="ET98" t="e">
        <f>AND(#REF!,"AAAAAF/wv5U=")</f>
        <v>#REF!</v>
      </c>
      <c r="EU98" t="e">
        <f>AND(#REF!,"AAAAAF/wv5Y=")</f>
        <v>#REF!</v>
      </c>
      <c r="EV98" t="e">
        <f>AND(#REF!,"AAAAAF/wv5c=")</f>
        <v>#REF!</v>
      </c>
      <c r="EW98" t="e">
        <f>AND(#REF!,"AAAAAF/wv5g=")</f>
        <v>#REF!</v>
      </c>
      <c r="EX98" t="e">
        <f>AND(#REF!,"AAAAAF/wv5k=")</f>
        <v>#REF!</v>
      </c>
      <c r="EY98" t="e">
        <f>AND(#REF!,"AAAAAF/wv5o=")</f>
        <v>#REF!</v>
      </c>
      <c r="EZ98" t="e">
        <f>IF(#REF!,"AAAAAF/wv5s=",0)</f>
        <v>#REF!</v>
      </c>
      <c r="FA98" t="e">
        <f>AND(#REF!,"AAAAAF/wv5w=")</f>
        <v>#REF!</v>
      </c>
      <c r="FB98" t="e">
        <f>AND(#REF!,"AAAAAF/wv50=")</f>
        <v>#REF!</v>
      </c>
      <c r="FC98" t="e">
        <f>AND(#REF!,"AAAAAF/wv54=")</f>
        <v>#REF!</v>
      </c>
      <c r="FD98" t="e">
        <f>AND(#REF!,"AAAAAF/wv58=")</f>
        <v>#REF!</v>
      </c>
      <c r="FE98" t="e">
        <f>AND(#REF!,"AAAAAF/wv6A=")</f>
        <v>#REF!</v>
      </c>
      <c r="FF98" t="e">
        <f>AND(#REF!,"AAAAAF/wv6E=")</f>
        <v>#REF!</v>
      </c>
      <c r="FG98" t="e">
        <f>AND(#REF!,"AAAAAF/wv6I=")</f>
        <v>#REF!</v>
      </c>
      <c r="FH98" t="e">
        <f>AND(#REF!,"AAAAAF/wv6M=")</f>
        <v>#REF!</v>
      </c>
      <c r="FI98" t="e">
        <f>AND(#REF!,"AAAAAF/wv6Q=")</f>
        <v>#REF!</v>
      </c>
      <c r="FJ98" t="e">
        <f>AND(#REF!,"AAAAAF/wv6U=")</f>
        <v>#REF!</v>
      </c>
      <c r="FK98" t="e">
        <f>AND(#REF!,"AAAAAF/wv6Y=")</f>
        <v>#REF!</v>
      </c>
      <c r="FL98" t="e">
        <f>AND(#REF!,"AAAAAF/wv6c=")</f>
        <v>#REF!</v>
      </c>
      <c r="FM98" t="e">
        <f>AND(#REF!,"AAAAAF/wv6g=")</f>
        <v>#REF!</v>
      </c>
      <c r="FN98" t="e">
        <f>AND(#REF!,"AAAAAF/wv6k=")</f>
        <v>#REF!</v>
      </c>
      <c r="FO98" t="e">
        <f>AND(#REF!,"AAAAAF/wv6o=")</f>
        <v>#REF!</v>
      </c>
      <c r="FP98" t="e">
        <f>AND(#REF!,"AAAAAF/wv6s=")</f>
        <v>#REF!</v>
      </c>
      <c r="FQ98" t="e">
        <f>AND(#REF!,"AAAAAF/wv6w=")</f>
        <v>#REF!</v>
      </c>
      <c r="FR98" t="e">
        <f>AND(#REF!,"AAAAAF/wv60=")</f>
        <v>#REF!</v>
      </c>
      <c r="FS98" t="e">
        <f>AND(#REF!,"AAAAAF/wv64=")</f>
        <v>#REF!</v>
      </c>
      <c r="FT98" t="e">
        <f>AND(#REF!,"AAAAAF/wv68=")</f>
        <v>#REF!</v>
      </c>
      <c r="FU98" t="e">
        <f>AND(#REF!,"AAAAAF/wv7A=")</f>
        <v>#REF!</v>
      </c>
      <c r="FV98" t="e">
        <f>AND(#REF!,"AAAAAF/wv7E=")</f>
        <v>#REF!</v>
      </c>
      <c r="FW98" t="e">
        <f>AND(#REF!,"AAAAAF/wv7I=")</f>
        <v>#REF!</v>
      </c>
      <c r="FX98" t="e">
        <f>AND(#REF!,"AAAAAF/wv7M=")</f>
        <v>#REF!</v>
      </c>
      <c r="FY98" t="e">
        <f>AND(#REF!,"AAAAAF/wv7Q=")</f>
        <v>#REF!</v>
      </c>
      <c r="FZ98" t="e">
        <f>AND(#REF!,"AAAAAF/wv7U=")</f>
        <v>#REF!</v>
      </c>
      <c r="GA98" t="e">
        <f>IF(#REF!,"AAAAAF/wv7Y=",0)</f>
        <v>#REF!</v>
      </c>
      <c r="GB98" t="e">
        <f>AND(#REF!,"AAAAAF/wv7c=")</f>
        <v>#REF!</v>
      </c>
      <c r="GC98" t="e">
        <f>AND(#REF!,"AAAAAF/wv7g=")</f>
        <v>#REF!</v>
      </c>
      <c r="GD98" t="e">
        <f>AND(#REF!,"AAAAAF/wv7k=")</f>
        <v>#REF!</v>
      </c>
      <c r="GE98" t="e">
        <f>AND(#REF!,"AAAAAF/wv7o=")</f>
        <v>#REF!</v>
      </c>
      <c r="GF98" t="e">
        <f>AND(#REF!,"AAAAAF/wv7s=")</f>
        <v>#REF!</v>
      </c>
      <c r="GG98" t="e">
        <f>AND(#REF!,"AAAAAF/wv7w=")</f>
        <v>#REF!</v>
      </c>
      <c r="GH98" t="e">
        <f>AND(#REF!,"AAAAAF/wv70=")</f>
        <v>#REF!</v>
      </c>
      <c r="GI98" t="e">
        <f>AND(#REF!,"AAAAAF/wv74=")</f>
        <v>#REF!</v>
      </c>
      <c r="GJ98" t="e">
        <f>AND(#REF!,"AAAAAF/wv78=")</f>
        <v>#REF!</v>
      </c>
      <c r="GK98" t="e">
        <f>AND(#REF!,"AAAAAF/wv8A=")</f>
        <v>#REF!</v>
      </c>
      <c r="GL98" t="e">
        <f>AND(#REF!,"AAAAAF/wv8E=")</f>
        <v>#REF!</v>
      </c>
      <c r="GM98" t="e">
        <f>AND(#REF!,"AAAAAF/wv8I=")</f>
        <v>#REF!</v>
      </c>
      <c r="GN98" t="e">
        <f>AND(#REF!,"AAAAAF/wv8M=")</f>
        <v>#REF!</v>
      </c>
      <c r="GO98" t="e">
        <f>AND(#REF!,"AAAAAF/wv8Q=")</f>
        <v>#REF!</v>
      </c>
      <c r="GP98" t="e">
        <f>AND(#REF!,"AAAAAF/wv8U=")</f>
        <v>#REF!</v>
      </c>
      <c r="GQ98" t="e">
        <f>AND(#REF!,"AAAAAF/wv8Y=")</f>
        <v>#REF!</v>
      </c>
      <c r="GR98" t="e">
        <f>AND(#REF!,"AAAAAF/wv8c=")</f>
        <v>#REF!</v>
      </c>
      <c r="GS98" t="e">
        <f>AND(#REF!,"AAAAAF/wv8g=")</f>
        <v>#REF!</v>
      </c>
      <c r="GT98" t="e">
        <f>AND(#REF!,"AAAAAF/wv8k=")</f>
        <v>#REF!</v>
      </c>
      <c r="GU98" t="e">
        <f>AND(#REF!,"AAAAAF/wv8o=")</f>
        <v>#REF!</v>
      </c>
      <c r="GV98" t="e">
        <f>AND(#REF!,"AAAAAF/wv8s=")</f>
        <v>#REF!</v>
      </c>
      <c r="GW98" t="e">
        <f>AND(#REF!,"AAAAAF/wv8w=")</f>
        <v>#REF!</v>
      </c>
      <c r="GX98" t="e">
        <f>AND(#REF!,"AAAAAF/wv80=")</f>
        <v>#REF!</v>
      </c>
      <c r="GY98" t="e">
        <f>AND(#REF!,"AAAAAF/wv84=")</f>
        <v>#REF!</v>
      </c>
      <c r="GZ98" t="e">
        <f>AND(#REF!,"AAAAAF/wv88=")</f>
        <v>#REF!</v>
      </c>
      <c r="HA98" t="e">
        <f>AND(#REF!,"AAAAAF/wv9A=")</f>
        <v>#REF!</v>
      </c>
      <c r="HB98" t="e">
        <f>IF(#REF!,"AAAAAF/wv9E=",0)</f>
        <v>#REF!</v>
      </c>
      <c r="HC98" t="e">
        <f>AND(#REF!,"AAAAAF/wv9I=")</f>
        <v>#REF!</v>
      </c>
      <c r="HD98" t="e">
        <f>AND(#REF!,"AAAAAF/wv9M=")</f>
        <v>#REF!</v>
      </c>
      <c r="HE98" t="e">
        <f>AND(#REF!,"AAAAAF/wv9Q=")</f>
        <v>#REF!</v>
      </c>
      <c r="HF98" t="e">
        <f>AND(#REF!,"AAAAAF/wv9U=")</f>
        <v>#REF!</v>
      </c>
      <c r="HG98" t="e">
        <f>AND(#REF!,"AAAAAF/wv9Y=")</f>
        <v>#REF!</v>
      </c>
      <c r="HH98" t="e">
        <f>AND(#REF!,"AAAAAF/wv9c=")</f>
        <v>#REF!</v>
      </c>
      <c r="HI98" t="e">
        <f>AND(#REF!,"AAAAAF/wv9g=")</f>
        <v>#REF!</v>
      </c>
      <c r="HJ98" t="e">
        <f>AND(#REF!,"AAAAAF/wv9k=")</f>
        <v>#REF!</v>
      </c>
      <c r="HK98" t="e">
        <f>AND(#REF!,"AAAAAF/wv9o=")</f>
        <v>#REF!</v>
      </c>
      <c r="HL98" t="e">
        <f>AND(#REF!,"AAAAAF/wv9s=")</f>
        <v>#REF!</v>
      </c>
      <c r="HM98" t="e">
        <f>AND(#REF!,"AAAAAF/wv9w=")</f>
        <v>#REF!</v>
      </c>
      <c r="HN98" t="e">
        <f>AND(#REF!,"AAAAAF/wv90=")</f>
        <v>#REF!</v>
      </c>
      <c r="HO98" t="e">
        <f>AND(#REF!,"AAAAAF/wv94=")</f>
        <v>#REF!</v>
      </c>
      <c r="HP98" t="e">
        <f>AND(#REF!,"AAAAAF/wv98=")</f>
        <v>#REF!</v>
      </c>
      <c r="HQ98" t="e">
        <f>AND(#REF!,"AAAAAF/wv+A=")</f>
        <v>#REF!</v>
      </c>
      <c r="HR98" t="e">
        <f>AND(#REF!,"AAAAAF/wv+E=")</f>
        <v>#REF!</v>
      </c>
      <c r="HS98" t="e">
        <f>AND(#REF!,"AAAAAF/wv+I=")</f>
        <v>#REF!</v>
      </c>
      <c r="HT98" t="e">
        <f>AND(#REF!,"AAAAAF/wv+M=")</f>
        <v>#REF!</v>
      </c>
      <c r="HU98" t="e">
        <f>AND(#REF!,"AAAAAF/wv+Q=")</f>
        <v>#REF!</v>
      </c>
      <c r="HV98" t="e">
        <f>AND(#REF!,"AAAAAF/wv+U=")</f>
        <v>#REF!</v>
      </c>
      <c r="HW98" t="e">
        <f>AND(#REF!,"AAAAAF/wv+Y=")</f>
        <v>#REF!</v>
      </c>
      <c r="HX98" t="e">
        <f>AND(#REF!,"AAAAAF/wv+c=")</f>
        <v>#REF!</v>
      </c>
      <c r="HY98" t="e">
        <f>AND(#REF!,"AAAAAF/wv+g=")</f>
        <v>#REF!</v>
      </c>
      <c r="HZ98" t="e">
        <f>AND(#REF!,"AAAAAF/wv+k=")</f>
        <v>#REF!</v>
      </c>
      <c r="IA98" t="e">
        <f>AND(#REF!,"AAAAAF/wv+o=")</f>
        <v>#REF!</v>
      </c>
      <c r="IB98" t="e">
        <f>AND(#REF!,"AAAAAF/wv+s=")</f>
        <v>#REF!</v>
      </c>
      <c r="IC98" t="e">
        <f>IF(#REF!,"AAAAAF/wv+w=",0)</f>
        <v>#REF!</v>
      </c>
      <c r="ID98" t="e">
        <f>AND(#REF!,"AAAAAF/wv+0=")</f>
        <v>#REF!</v>
      </c>
      <c r="IE98" t="e">
        <f>AND(#REF!,"AAAAAF/wv+4=")</f>
        <v>#REF!</v>
      </c>
      <c r="IF98" t="e">
        <f>AND(#REF!,"AAAAAF/wv+8=")</f>
        <v>#REF!</v>
      </c>
      <c r="IG98" t="e">
        <f>AND(#REF!,"AAAAAF/wv/A=")</f>
        <v>#REF!</v>
      </c>
      <c r="IH98" t="e">
        <f>AND(#REF!,"AAAAAF/wv/E=")</f>
        <v>#REF!</v>
      </c>
      <c r="II98" t="e">
        <f>AND(#REF!,"AAAAAF/wv/I=")</f>
        <v>#REF!</v>
      </c>
      <c r="IJ98" t="e">
        <f>AND(#REF!,"AAAAAF/wv/M=")</f>
        <v>#REF!</v>
      </c>
      <c r="IK98" t="e">
        <f>AND(#REF!,"AAAAAF/wv/Q=")</f>
        <v>#REF!</v>
      </c>
      <c r="IL98" t="e">
        <f>AND(#REF!,"AAAAAF/wv/U=")</f>
        <v>#REF!</v>
      </c>
      <c r="IM98" t="e">
        <f>AND(#REF!,"AAAAAF/wv/Y=")</f>
        <v>#REF!</v>
      </c>
      <c r="IN98" t="e">
        <f>AND(#REF!,"AAAAAF/wv/c=")</f>
        <v>#REF!</v>
      </c>
      <c r="IO98" t="e">
        <f>AND(#REF!,"AAAAAF/wv/g=")</f>
        <v>#REF!</v>
      </c>
      <c r="IP98" t="e">
        <f>AND(#REF!,"AAAAAF/wv/k=")</f>
        <v>#REF!</v>
      </c>
      <c r="IQ98" t="e">
        <f>AND(#REF!,"AAAAAF/wv/o=")</f>
        <v>#REF!</v>
      </c>
      <c r="IR98" t="e">
        <f>AND(#REF!,"AAAAAF/wv/s=")</f>
        <v>#REF!</v>
      </c>
      <c r="IS98" t="e">
        <f>AND(#REF!,"AAAAAF/wv/w=")</f>
        <v>#REF!</v>
      </c>
      <c r="IT98" t="e">
        <f>AND(#REF!,"AAAAAF/wv/0=")</f>
        <v>#REF!</v>
      </c>
      <c r="IU98" t="e">
        <f>AND(#REF!,"AAAAAF/wv/4=")</f>
        <v>#REF!</v>
      </c>
      <c r="IV98" t="e">
        <f>AND(#REF!,"AAAAAF/wv/8=")</f>
        <v>#REF!</v>
      </c>
    </row>
    <row r="99" spans="1:256" x14ac:dyDescent="0.2">
      <c r="A99" t="e">
        <f>AND(#REF!,"AAAAAGa9/wA=")</f>
        <v>#REF!</v>
      </c>
      <c r="B99" t="e">
        <f>AND(#REF!,"AAAAAGa9/wE=")</f>
        <v>#REF!</v>
      </c>
      <c r="C99" t="e">
        <f>AND(#REF!,"AAAAAGa9/wI=")</f>
        <v>#REF!</v>
      </c>
      <c r="D99" t="e">
        <f>AND(#REF!,"AAAAAGa9/wM=")</f>
        <v>#REF!</v>
      </c>
      <c r="E99" t="e">
        <f>AND(#REF!,"AAAAAGa9/wQ=")</f>
        <v>#REF!</v>
      </c>
      <c r="F99" t="e">
        <f>AND(#REF!,"AAAAAGa9/wU=")</f>
        <v>#REF!</v>
      </c>
      <c r="G99" t="e">
        <f>AND(#REF!,"AAAAAGa9/wY=")</f>
        <v>#REF!</v>
      </c>
      <c r="H99" t="e">
        <f>IF(#REF!,"AAAAAGa9/wc=",0)</f>
        <v>#REF!</v>
      </c>
      <c r="I99" t="e">
        <f>AND(#REF!,"AAAAAGa9/wg=")</f>
        <v>#REF!</v>
      </c>
      <c r="J99" t="e">
        <f>AND(#REF!,"AAAAAGa9/wk=")</f>
        <v>#REF!</v>
      </c>
      <c r="K99" t="e">
        <f>AND(#REF!,"AAAAAGa9/wo=")</f>
        <v>#REF!</v>
      </c>
      <c r="L99" t="e">
        <f>AND(#REF!,"AAAAAGa9/ws=")</f>
        <v>#REF!</v>
      </c>
      <c r="M99" t="e">
        <f>AND(#REF!,"AAAAAGa9/ww=")</f>
        <v>#REF!</v>
      </c>
      <c r="N99" t="e">
        <f>AND(#REF!,"AAAAAGa9/w0=")</f>
        <v>#REF!</v>
      </c>
      <c r="O99" t="e">
        <f>AND(#REF!,"AAAAAGa9/w4=")</f>
        <v>#REF!</v>
      </c>
      <c r="P99" t="e">
        <f>AND(#REF!,"AAAAAGa9/w8=")</f>
        <v>#REF!</v>
      </c>
      <c r="Q99" t="e">
        <f>AND(#REF!,"AAAAAGa9/xA=")</f>
        <v>#REF!</v>
      </c>
      <c r="R99" t="e">
        <f>AND(#REF!,"AAAAAGa9/xE=")</f>
        <v>#REF!</v>
      </c>
      <c r="S99" t="e">
        <f>AND(#REF!,"AAAAAGa9/xI=")</f>
        <v>#REF!</v>
      </c>
      <c r="T99" t="e">
        <f>AND(#REF!,"AAAAAGa9/xM=")</f>
        <v>#REF!</v>
      </c>
      <c r="U99" t="e">
        <f>AND(#REF!,"AAAAAGa9/xQ=")</f>
        <v>#REF!</v>
      </c>
      <c r="V99" t="e">
        <f>AND(#REF!,"AAAAAGa9/xU=")</f>
        <v>#REF!</v>
      </c>
      <c r="W99" t="e">
        <f>AND(#REF!,"AAAAAGa9/xY=")</f>
        <v>#REF!</v>
      </c>
      <c r="X99" t="e">
        <f>AND(#REF!,"AAAAAGa9/xc=")</f>
        <v>#REF!</v>
      </c>
      <c r="Y99" t="e">
        <f>AND(#REF!,"AAAAAGa9/xg=")</f>
        <v>#REF!</v>
      </c>
      <c r="Z99" t="e">
        <f>AND(#REF!,"AAAAAGa9/xk=")</f>
        <v>#REF!</v>
      </c>
      <c r="AA99" t="e">
        <f>AND(#REF!,"AAAAAGa9/xo=")</f>
        <v>#REF!</v>
      </c>
      <c r="AB99" t="e">
        <f>AND(#REF!,"AAAAAGa9/xs=")</f>
        <v>#REF!</v>
      </c>
      <c r="AC99" t="e">
        <f>AND(#REF!,"AAAAAGa9/xw=")</f>
        <v>#REF!</v>
      </c>
      <c r="AD99" t="e">
        <f>AND(#REF!,"AAAAAGa9/x0=")</f>
        <v>#REF!</v>
      </c>
      <c r="AE99" t="e">
        <f>AND(#REF!,"AAAAAGa9/x4=")</f>
        <v>#REF!</v>
      </c>
      <c r="AF99" t="e">
        <f>AND(#REF!,"AAAAAGa9/x8=")</f>
        <v>#REF!</v>
      </c>
      <c r="AG99" t="e">
        <f>AND(#REF!,"AAAAAGa9/yA=")</f>
        <v>#REF!</v>
      </c>
      <c r="AH99" t="e">
        <f>AND(#REF!,"AAAAAGa9/yE=")</f>
        <v>#REF!</v>
      </c>
      <c r="AI99" t="e">
        <f>IF(#REF!,"AAAAAGa9/yI=",0)</f>
        <v>#REF!</v>
      </c>
      <c r="AJ99" t="e">
        <f>AND(#REF!,"AAAAAGa9/yM=")</f>
        <v>#REF!</v>
      </c>
      <c r="AK99" t="e">
        <f>AND(#REF!,"AAAAAGa9/yQ=")</f>
        <v>#REF!</v>
      </c>
      <c r="AL99" t="e">
        <f>AND(#REF!,"AAAAAGa9/yU=")</f>
        <v>#REF!</v>
      </c>
      <c r="AM99" t="e">
        <f>AND(#REF!,"AAAAAGa9/yY=")</f>
        <v>#REF!</v>
      </c>
      <c r="AN99" t="e">
        <f>AND(#REF!,"AAAAAGa9/yc=")</f>
        <v>#REF!</v>
      </c>
      <c r="AO99" t="e">
        <f>AND(#REF!,"AAAAAGa9/yg=")</f>
        <v>#REF!</v>
      </c>
      <c r="AP99" t="e">
        <f>AND(#REF!,"AAAAAGa9/yk=")</f>
        <v>#REF!</v>
      </c>
      <c r="AQ99" t="e">
        <f>AND(#REF!,"AAAAAGa9/yo=")</f>
        <v>#REF!</v>
      </c>
      <c r="AR99" t="e">
        <f>AND(#REF!,"AAAAAGa9/ys=")</f>
        <v>#REF!</v>
      </c>
      <c r="AS99" t="e">
        <f>AND(#REF!,"AAAAAGa9/yw=")</f>
        <v>#REF!</v>
      </c>
      <c r="AT99" t="e">
        <f>AND(#REF!,"AAAAAGa9/y0=")</f>
        <v>#REF!</v>
      </c>
      <c r="AU99" t="e">
        <f>AND(#REF!,"AAAAAGa9/y4=")</f>
        <v>#REF!</v>
      </c>
      <c r="AV99" t="e">
        <f>AND(#REF!,"AAAAAGa9/y8=")</f>
        <v>#REF!</v>
      </c>
      <c r="AW99" t="e">
        <f>AND(#REF!,"AAAAAGa9/zA=")</f>
        <v>#REF!</v>
      </c>
      <c r="AX99" t="e">
        <f>AND(#REF!,"AAAAAGa9/zE=")</f>
        <v>#REF!</v>
      </c>
      <c r="AY99" t="e">
        <f>AND(#REF!,"AAAAAGa9/zI=")</f>
        <v>#REF!</v>
      </c>
      <c r="AZ99" t="e">
        <f>AND(#REF!,"AAAAAGa9/zM=")</f>
        <v>#REF!</v>
      </c>
      <c r="BA99" t="e">
        <f>AND(#REF!,"AAAAAGa9/zQ=")</f>
        <v>#REF!</v>
      </c>
      <c r="BB99" t="e">
        <f>AND(#REF!,"AAAAAGa9/zU=")</f>
        <v>#REF!</v>
      </c>
      <c r="BC99" t="e">
        <f>AND(#REF!,"AAAAAGa9/zY=")</f>
        <v>#REF!</v>
      </c>
      <c r="BD99" t="e">
        <f>AND(#REF!,"AAAAAGa9/zc=")</f>
        <v>#REF!</v>
      </c>
      <c r="BE99" t="e">
        <f>AND(#REF!,"AAAAAGa9/zg=")</f>
        <v>#REF!</v>
      </c>
      <c r="BF99" t="e">
        <f>AND(#REF!,"AAAAAGa9/zk=")</f>
        <v>#REF!</v>
      </c>
      <c r="BG99" t="e">
        <f>AND(#REF!,"AAAAAGa9/zo=")</f>
        <v>#REF!</v>
      </c>
      <c r="BH99" t="e">
        <f>AND(#REF!,"AAAAAGa9/zs=")</f>
        <v>#REF!</v>
      </c>
      <c r="BI99" t="e">
        <f>AND(#REF!,"AAAAAGa9/zw=")</f>
        <v>#REF!</v>
      </c>
      <c r="BJ99" t="e">
        <f>IF(#REF!,"AAAAAGa9/z0=",0)</f>
        <v>#REF!</v>
      </c>
      <c r="BK99" t="e">
        <f>AND(#REF!,"AAAAAGa9/z4=")</f>
        <v>#REF!</v>
      </c>
      <c r="BL99" t="e">
        <f>AND(#REF!,"AAAAAGa9/z8=")</f>
        <v>#REF!</v>
      </c>
      <c r="BM99" t="e">
        <f>AND(#REF!,"AAAAAGa9/0A=")</f>
        <v>#REF!</v>
      </c>
      <c r="BN99" t="e">
        <f>AND(#REF!,"AAAAAGa9/0E=")</f>
        <v>#REF!</v>
      </c>
      <c r="BO99" t="e">
        <f>AND(#REF!,"AAAAAGa9/0I=")</f>
        <v>#REF!</v>
      </c>
      <c r="BP99" t="e">
        <f>AND(#REF!,"AAAAAGa9/0M=")</f>
        <v>#REF!</v>
      </c>
      <c r="BQ99" t="e">
        <f>AND(#REF!,"AAAAAGa9/0Q=")</f>
        <v>#REF!</v>
      </c>
      <c r="BR99" t="e">
        <f>AND(#REF!,"AAAAAGa9/0U=")</f>
        <v>#REF!</v>
      </c>
      <c r="BS99" t="e">
        <f>AND(#REF!,"AAAAAGa9/0Y=")</f>
        <v>#REF!</v>
      </c>
      <c r="BT99" t="e">
        <f>AND(#REF!,"AAAAAGa9/0c=")</f>
        <v>#REF!</v>
      </c>
      <c r="BU99" t="e">
        <f>AND(#REF!,"AAAAAGa9/0g=")</f>
        <v>#REF!</v>
      </c>
      <c r="BV99" t="e">
        <f>AND(#REF!,"AAAAAGa9/0k=")</f>
        <v>#REF!</v>
      </c>
      <c r="BW99" t="e">
        <f>AND(#REF!,"AAAAAGa9/0o=")</f>
        <v>#REF!</v>
      </c>
      <c r="BX99" t="e">
        <f>AND(#REF!,"AAAAAGa9/0s=")</f>
        <v>#REF!</v>
      </c>
      <c r="BY99" t="e">
        <f>AND(#REF!,"AAAAAGa9/0w=")</f>
        <v>#REF!</v>
      </c>
      <c r="BZ99" t="e">
        <f>AND(#REF!,"AAAAAGa9/00=")</f>
        <v>#REF!</v>
      </c>
      <c r="CA99" t="e">
        <f>AND(#REF!,"AAAAAGa9/04=")</f>
        <v>#REF!</v>
      </c>
      <c r="CB99" t="e">
        <f>AND(#REF!,"AAAAAGa9/08=")</f>
        <v>#REF!</v>
      </c>
      <c r="CC99" t="e">
        <f>AND(#REF!,"AAAAAGa9/1A=")</f>
        <v>#REF!</v>
      </c>
      <c r="CD99" t="e">
        <f>AND(#REF!,"AAAAAGa9/1E=")</f>
        <v>#REF!</v>
      </c>
      <c r="CE99" t="e">
        <f>AND(#REF!,"AAAAAGa9/1I=")</f>
        <v>#REF!</v>
      </c>
      <c r="CF99" t="e">
        <f>AND(#REF!,"AAAAAGa9/1M=")</f>
        <v>#REF!</v>
      </c>
      <c r="CG99" t="e">
        <f>AND(#REF!,"AAAAAGa9/1Q=")</f>
        <v>#REF!</v>
      </c>
      <c r="CH99" t="e">
        <f>AND(#REF!,"AAAAAGa9/1U=")</f>
        <v>#REF!</v>
      </c>
      <c r="CI99" t="e">
        <f>AND(#REF!,"AAAAAGa9/1Y=")</f>
        <v>#REF!</v>
      </c>
      <c r="CJ99" t="e">
        <f>AND(#REF!,"AAAAAGa9/1c=")</f>
        <v>#REF!</v>
      </c>
      <c r="CK99" t="e">
        <f>IF(#REF!,"AAAAAGa9/1g=",0)</f>
        <v>#REF!</v>
      </c>
      <c r="CL99" t="e">
        <f>IF(#REF!,"AAAAAGa9/1k=",0)</f>
        <v>#REF!</v>
      </c>
      <c r="CM99" t="e">
        <f>IF(#REF!,"AAAAAGa9/1o=",0)</f>
        <v>#REF!</v>
      </c>
      <c r="CN99" t="e">
        <f>IF(#REF!,"AAAAAGa9/1s=",0)</f>
        <v>#REF!</v>
      </c>
      <c r="CO99" t="e">
        <f>IF(#REF!,"AAAAAGa9/1w=",0)</f>
        <v>#REF!</v>
      </c>
      <c r="CP99" t="e">
        <f>IF(#REF!,"AAAAAGa9/10=",0)</f>
        <v>#REF!</v>
      </c>
      <c r="CQ99" t="e">
        <f>IF(#REF!,"AAAAAGa9/14=",0)</f>
        <v>#REF!</v>
      </c>
      <c r="CR99" t="e">
        <f>IF(#REF!,"AAAAAGa9/18=",0)</f>
        <v>#REF!</v>
      </c>
      <c r="CS99" t="e">
        <f>IF(#REF!,"AAAAAGa9/2A=",0)</f>
        <v>#REF!</v>
      </c>
      <c r="CT99" t="e">
        <f>IF(#REF!,"AAAAAGa9/2E=",0)</f>
        <v>#REF!</v>
      </c>
      <c r="CU99" t="e">
        <f>IF(#REF!,"AAAAAGa9/2I=",0)</f>
        <v>#REF!</v>
      </c>
      <c r="CV99" t="e">
        <f>IF(#REF!,"AAAAAGa9/2M=",0)</f>
        <v>#REF!</v>
      </c>
      <c r="CW99" t="e">
        <f>IF(#REF!,"AAAAAGa9/2Q=",0)</f>
        <v>#REF!</v>
      </c>
      <c r="CX99" t="e">
        <f>IF(#REF!,"AAAAAGa9/2U=",0)</f>
        <v>#REF!</v>
      </c>
      <c r="CY99" t="e">
        <f>IF(#REF!,"AAAAAGa9/2Y=",0)</f>
        <v>#REF!</v>
      </c>
      <c r="CZ99" t="e">
        <f>IF(#REF!,"AAAAAGa9/2c=",0)</f>
        <v>#REF!</v>
      </c>
      <c r="DA99" t="e">
        <f>IF(#REF!,"AAAAAGa9/2g=",0)</f>
        <v>#REF!</v>
      </c>
      <c r="DB99" t="e">
        <f>IF(#REF!,"AAAAAGa9/2k=",0)</f>
        <v>#REF!</v>
      </c>
      <c r="DC99" t="e">
        <f>IF(#REF!,"AAAAAGa9/2o=",0)</f>
        <v>#REF!</v>
      </c>
      <c r="DD99" t="e">
        <f>IF(#REF!,"AAAAAGa9/2s=",0)</f>
        <v>#REF!</v>
      </c>
      <c r="DE99" t="e">
        <f>IF(#REF!,"AAAAAGa9/2w=",0)</f>
        <v>#REF!</v>
      </c>
      <c r="DF99" t="e">
        <f>IF(#REF!,"AAAAAGa9/20=",0)</f>
        <v>#REF!</v>
      </c>
      <c r="DG99" t="e">
        <f>IF(#REF!,"AAAAAGa9/24=",0)</f>
        <v>#REF!</v>
      </c>
      <c r="DH99" t="e">
        <f>IF(#REF!,"AAAAAGa9/28=",0)</f>
        <v>#REF!</v>
      </c>
      <c r="DI99" t="e">
        <f>IF(#REF!,"AAAAAGa9/3A=",0)</f>
        <v>#REF!</v>
      </c>
      <c r="DJ99" t="e">
        <f>IF(#REF!,"AAAAAGa9/3E=",0)</f>
        <v>#REF!</v>
      </c>
      <c r="DK99" t="e">
        <f>IF(#REF!,"AAAAAGa9/3I=",0)</f>
        <v>#REF!</v>
      </c>
      <c r="DL99" t="e">
        <f>AND(#REF!,"AAAAAGa9/3M=")</f>
        <v>#REF!</v>
      </c>
      <c r="DM99" t="e">
        <f>AND(#REF!,"AAAAAGa9/3Q=")</f>
        <v>#REF!</v>
      </c>
      <c r="DN99" t="e">
        <f>AND(#REF!,"AAAAAGa9/3U=")</f>
        <v>#REF!</v>
      </c>
      <c r="DO99" t="e">
        <f>AND(#REF!,"AAAAAGa9/3Y=")</f>
        <v>#REF!</v>
      </c>
      <c r="DP99" t="e">
        <f>AND(#REF!,"AAAAAGa9/3c=")</f>
        <v>#REF!</v>
      </c>
      <c r="DQ99" t="e">
        <f>AND(#REF!,"AAAAAGa9/3g=")</f>
        <v>#REF!</v>
      </c>
      <c r="DR99" t="e">
        <f>AND(#REF!,"AAAAAGa9/3k=")</f>
        <v>#REF!</v>
      </c>
      <c r="DS99" t="e">
        <f>AND(#REF!,"AAAAAGa9/3o=")</f>
        <v>#REF!</v>
      </c>
      <c r="DT99" t="e">
        <f>AND(#REF!,"AAAAAGa9/3s=")</f>
        <v>#REF!</v>
      </c>
      <c r="DU99" t="e">
        <f>AND(#REF!,"AAAAAGa9/3w=")</f>
        <v>#REF!</v>
      </c>
      <c r="DV99" t="e">
        <f>AND(#REF!,"AAAAAGa9/30=")</f>
        <v>#REF!</v>
      </c>
      <c r="DW99" t="e">
        <f>AND(#REF!,"AAAAAGa9/34=")</f>
        <v>#REF!</v>
      </c>
      <c r="DX99" t="e">
        <f>AND(#REF!,"AAAAAGa9/38=")</f>
        <v>#REF!</v>
      </c>
      <c r="DY99" t="e">
        <f>AND(#REF!,"AAAAAGa9/4A=")</f>
        <v>#REF!</v>
      </c>
      <c r="DZ99" t="e">
        <f>AND(#REF!,"AAAAAGa9/4E=")</f>
        <v>#REF!</v>
      </c>
      <c r="EA99" t="e">
        <f>AND(#REF!,"AAAAAGa9/4I=")</f>
        <v>#REF!</v>
      </c>
      <c r="EB99" t="e">
        <f>AND(#REF!,"AAAAAGa9/4M=")</f>
        <v>#REF!</v>
      </c>
      <c r="EC99" t="e">
        <f>AND(#REF!,"AAAAAGa9/4Q=")</f>
        <v>#REF!</v>
      </c>
      <c r="ED99" t="e">
        <f>AND(#REF!,"AAAAAGa9/4U=")</f>
        <v>#REF!</v>
      </c>
      <c r="EE99" t="e">
        <f>AND(#REF!,"AAAAAGa9/4Y=")</f>
        <v>#REF!</v>
      </c>
      <c r="EF99" t="e">
        <f>AND(#REF!,"AAAAAGa9/4c=")</f>
        <v>#REF!</v>
      </c>
      <c r="EG99" t="e">
        <f>AND(#REF!,"AAAAAGa9/4g=")</f>
        <v>#REF!</v>
      </c>
      <c r="EH99" t="e">
        <f>AND(#REF!,"AAAAAGa9/4k=")</f>
        <v>#REF!</v>
      </c>
      <c r="EI99" t="e">
        <f>AND(#REF!,"AAAAAGa9/4o=")</f>
        <v>#REF!</v>
      </c>
      <c r="EJ99" t="e">
        <f>AND(#REF!,"AAAAAGa9/4s=")</f>
        <v>#REF!</v>
      </c>
      <c r="EK99" t="e">
        <f>AND(#REF!,"AAAAAGa9/4w=")</f>
        <v>#REF!</v>
      </c>
      <c r="EL99" t="e">
        <f>IF(#REF!,"AAAAAGa9/40=",0)</f>
        <v>#REF!</v>
      </c>
      <c r="EM99" t="e">
        <f>AND(#REF!,"AAAAAGa9/44=")</f>
        <v>#REF!</v>
      </c>
      <c r="EN99" t="e">
        <f>AND(#REF!,"AAAAAGa9/48=")</f>
        <v>#REF!</v>
      </c>
      <c r="EO99" t="e">
        <f>AND(#REF!,"AAAAAGa9/5A=")</f>
        <v>#REF!</v>
      </c>
      <c r="EP99" t="e">
        <f>AND(#REF!,"AAAAAGa9/5E=")</f>
        <v>#REF!</v>
      </c>
      <c r="EQ99" t="e">
        <f>AND(#REF!,"AAAAAGa9/5I=")</f>
        <v>#REF!</v>
      </c>
      <c r="ER99" t="e">
        <f>AND(#REF!,"AAAAAGa9/5M=")</f>
        <v>#REF!</v>
      </c>
      <c r="ES99" t="e">
        <f>AND(#REF!,"AAAAAGa9/5Q=")</f>
        <v>#REF!</v>
      </c>
      <c r="ET99" t="e">
        <f>AND(#REF!,"AAAAAGa9/5U=")</f>
        <v>#REF!</v>
      </c>
      <c r="EU99" t="e">
        <f>AND(#REF!,"AAAAAGa9/5Y=")</f>
        <v>#REF!</v>
      </c>
      <c r="EV99" t="e">
        <f>AND(#REF!,"AAAAAGa9/5c=")</f>
        <v>#REF!</v>
      </c>
      <c r="EW99" t="e">
        <f>AND(#REF!,"AAAAAGa9/5g=")</f>
        <v>#REF!</v>
      </c>
      <c r="EX99" t="e">
        <f>AND(#REF!,"AAAAAGa9/5k=")</f>
        <v>#REF!</v>
      </c>
      <c r="EY99" t="e">
        <f>AND(#REF!,"AAAAAGa9/5o=")</f>
        <v>#REF!</v>
      </c>
      <c r="EZ99" t="e">
        <f>AND(#REF!,"AAAAAGa9/5s=")</f>
        <v>#REF!</v>
      </c>
      <c r="FA99" t="e">
        <f>AND(#REF!,"AAAAAGa9/5w=")</f>
        <v>#REF!</v>
      </c>
      <c r="FB99" t="e">
        <f>AND(#REF!,"AAAAAGa9/50=")</f>
        <v>#REF!</v>
      </c>
      <c r="FC99" t="e">
        <f>AND(#REF!,"AAAAAGa9/54=")</f>
        <v>#REF!</v>
      </c>
      <c r="FD99" t="e">
        <f>AND(#REF!,"AAAAAGa9/58=")</f>
        <v>#REF!</v>
      </c>
      <c r="FE99" t="e">
        <f>AND(#REF!,"AAAAAGa9/6A=")</f>
        <v>#REF!</v>
      </c>
      <c r="FF99" t="e">
        <f>AND(#REF!,"AAAAAGa9/6E=")</f>
        <v>#REF!</v>
      </c>
      <c r="FG99" t="e">
        <f>AND(#REF!,"AAAAAGa9/6I=")</f>
        <v>#REF!</v>
      </c>
      <c r="FH99" t="e">
        <f>AND(#REF!,"AAAAAGa9/6M=")</f>
        <v>#REF!</v>
      </c>
      <c r="FI99" t="e">
        <f>AND(#REF!,"AAAAAGa9/6Q=")</f>
        <v>#REF!</v>
      </c>
      <c r="FJ99" t="e">
        <f>AND(#REF!,"AAAAAGa9/6U=")</f>
        <v>#REF!</v>
      </c>
      <c r="FK99" t="e">
        <f>AND(#REF!,"AAAAAGa9/6Y=")</f>
        <v>#REF!</v>
      </c>
      <c r="FL99" t="e">
        <f>AND(#REF!,"AAAAAGa9/6c=")</f>
        <v>#REF!</v>
      </c>
      <c r="FM99" t="e">
        <f>IF(#REF!,"AAAAAGa9/6g=",0)</f>
        <v>#REF!</v>
      </c>
      <c r="FN99" t="e">
        <f>AND(#REF!,"AAAAAGa9/6k=")</f>
        <v>#REF!</v>
      </c>
      <c r="FO99" t="e">
        <f>AND(#REF!,"AAAAAGa9/6o=")</f>
        <v>#REF!</v>
      </c>
      <c r="FP99" t="e">
        <f>AND(#REF!,"AAAAAGa9/6s=")</f>
        <v>#REF!</v>
      </c>
      <c r="FQ99" t="e">
        <f>AND(#REF!,"AAAAAGa9/6w=")</f>
        <v>#REF!</v>
      </c>
      <c r="FR99" t="e">
        <f>AND(#REF!,"AAAAAGa9/60=")</f>
        <v>#REF!</v>
      </c>
      <c r="FS99" t="e">
        <f>AND(#REF!,"AAAAAGa9/64=")</f>
        <v>#REF!</v>
      </c>
      <c r="FT99" t="e">
        <f>AND(#REF!,"AAAAAGa9/68=")</f>
        <v>#REF!</v>
      </c>
      <c r="FU99" t="e">
        <f>AND(#REF!,"AAAAAGa9/7A=")</f>
        <v>#REF!</v>
      </c>
      <c r="FV99" t="e">
        <f>AND(#REF!,"AAAAAGa9/7E=")</f>
        <v>#REF!</v>
      </c>
      <c r="FW99" t="e">
        <f>AND(#REF!,"AAAAAGa9/7I=")</f>
        <v>#REF!</v>
      </c>
      <c r="FX99" t="e">
        <f>AND(#REF!,"AAAAAGa9/7M=")</f>
        <v>#REF!</v>
      </c>
      <c r="FY99" t="e">
        <f>AND(#REF!,"AAAAAGa9/7Q=")</f>
        <v>#REF!</v>
      </c>
      <c r="FZ99" t="e">
        <f>AND(#REF!,"AAAAAGa9/7U=")</f>
        <v>#REF!</v>
      </c>
      <c r="GA99" t="e">
        <f>AND(#REF!,"AAAAAGa9/7Y=")</f>
        <v>#REF!</v>
      </c>
      <c r="GB99" t="e">
        <f>AND(#REF!,"AAAAAGa9/7c=")</f>
        <v>#REF!</v>
      </c>
      <c r="GC99" t="e">
        <f>AND(#REF!,"AAAAAGa9/7g=")</f>
        <v>#REF!</v>
      </c>
      <c r="GD99" t="e">
        <f>AND(#REF!,"AAAAAGa9/7k=")</f>
        <v>#REF!</v>
      </c>
      <c r="GE99" t="e">
        <f>AND(#REF!,"AAAAAGa9/7o=")</f>
        <v>#REF!</v>
      </c>
      <c r="GF99" t="e">
        <f>AND(#REF!,"AAAAAGa9/7s=")</f>
        <v>#REF!</v>
      </c>
      <c r="GG99" t="e">
        <f>AND(#REF!,"AAAAAGa9/7w=")</f>
        <v>#REF!</v>
      </c>
      <c r="GH99" t="e">
        <f>AND(#REF!,"AAAAAGa9/70=")</f>
        <v>#REF!</v>
      </c>
      <c r="GI99" t="e">
        <f>AND(#REF!,"AAAAAGa9/74=")</f>
        <v>#REF!</v>
      </c>
      <c r="GJ99" t="e">
        <f>AND(#REF!,"AAAAAGa9/78=")</f>
        <v>#REF!</v>
      </c>
      <c r="GK99" t="e">
        <f>AND(#REF!,"AAAAAGa9/8A=")</f>
        <v>#REF!</v>
      </c>
      <c r="GL99" t="e">
        <f>AND(#REF!,"AAAAAGa9/8E=")</f>
        <v>#REF!</v>
      </c>
      <c r="GM99" t="e">
        <f>AND(#REF!,"AAAAAGa9/8I=")</f>
        <v>#REF!</v>
      </c>
      <c r="GN99" t="e">
        <f>IF(#REF!,"AAAAAGa9/8M=",0)</f>
        <v>#REF!</v>
      </c>
      <c r="GO99" t="e">
        <f>AND(#REF!,"AAAAAGa9/8Q=")</f>
        <v>#REF!</v>
      </c>
      <c r="GP99" t="e">
        <f>AND(#REF!,"AAAAAGa9/8U=")</f>
        <v>#REF!</v>
      </c>
      <c r="GQ99" t="e">
        <f>AND(#REF!,"AAAAAGa9/8Y=")</f>
        <v>#REF!</v>
      </c>
      <c r="GR99" t="e">
        <f>AND(#REF!,"AAAAAGa9/8c=")</f>
        <v>#REF!</v>
      </c>
      <c r="GS99" t="e">
        <f>AND(#REF!,"AAAAAGa9/8g=")</f>
        <v>#REF!</v>
      </c>
      <c r="GT99" t="e">
        <f>AND(#REF!,"AAAAAGa9/8k=")</f>
        <v>#REF!</v>
      </c>
      <c r="GU99" t="e">
        <f>AND(#REF!,"AAAAAGa9/8o=")</f>
        <v>#REF!</v>
      </c>
      <c r="GV99" t="e">
        <f>AND(#REF!,"AAAAAGa9/8s=")</f>
        <v>#REF!</v>
      </c>
      <c r="GW99" t="e">
        <f>AND(#REF!,"AAAAAGa9/8w=")</f>
        <v>#REF!</v>
      </c>
      <c r="GX99" t="e">
        <f>AND(#REF!,"AAAAAGa9/80=")</f>
        <v>#REF!</v>
      </c>
      <c r="GY99" t="e">
        <f>AND(#REF!,"AAAAAGa9/84=")</f>
        <v>#REF!</v>
      </c>
      <c r="GZ99" t="e">
        <f>AND(#REF!,"AAAAAGa9/88=")</f>
        <v>#REF!</v>
      </c>
      <c r="HA99" t="e">
        <f>AND(#REF!,"AAAAAGa9/9A=")</f>
        <v>#REF!</v>
      </c>
      <c r="HB99" t="e">
        <f>AND(#REF!,"AAAAAGa9/9E=")</f>
        <v>#REF!</v>
      </c>
      <c r="HC99" t="e">
        <f>AND(#REF!,"AAAAAGa9/9I=")</f>
        <v>#REF!</v>
      </c>
      <c r="HD99" t="e">
        <f>AND(#REF!,"AAAAAGa9/9M=")</f>
        <v>#REF!</v>
      </c>
      <c r="HE99" t="e">
        <f>AND(#REF!,"AAAAAGa9/9Q=")</f>
        <v>#REF!</v>
      </c>
      <c r="HF99" t="e">
        <f>AND(#REF!,"AAAAAGa9/9U=")</f>
        <v>#REF!</v>
      </c>
      <c r="HG99" t="e">
        <f>AND(#REF!,"AAAAAGa9/9Y=")</f>
        <v>#REF!</v>
      </c>
      <c r="HH99" t="e">
        <f>AND(#REF!,"AAAAAGa9/9c=")</f>
        <v>#REF!</v>
      </c>
      <c r="HI99" t="e">
        <f>AND(#REF!,"AAAAAGa9/9g=")</f>
        <v>#REF!</v>
      </c>
      <c r="HJ99" t="e">
        <f>AND(#REF!,"AAAAAGa9/9k=")</f>
        <v>#REF!</v>
      </c>
      <c r="HK99" t="e">
        <f>AND(#REF!,"AAAAAGa9/9o=")</f>
        <v>#REF!</v>
      </c>
      <c r="HL99" t="e">
        <f>AND(#REF!,"AAAAAGa9/9s=")</f>
        <v>#REF!</v>
      </c>
      <c r="HM99" t="e">
        <f>AND(#REF!,"AAAAAGa9/9w=")</f>
        <v>#REF!</v>
      </c>
      <c r="HN99" t="e">
        <f>AND(#REF!,"AAAAAGa9/90=")</f>
        <v>#REF!</v>
      </c>
      <c r="HO99" t="e">
        <f>IF(#REF!,"AAAAAGa9/94=",0)</f>
        <v>#REF!</v>
      </c>
      <c r="HP99" t="e">
        <f>AND(#REF!,"AAAAAGa9/98=")</f>
        <v>#REF!</v>
      </c>
      <c r="HQ99" t="e">
        <f>AND(#REF!,"AAAAAGa9/+A=")</f>
        <v>#REF!</v>
      </c>
      <c r="HR99" t="e">
        <f>AND(#REF!,"AAAAAGa9/+E=")</f>
        <v>#REF!</v>
      </c>
      <c r="HS99" t="e">
        <f>AND(#REF!,"AAAAAGa9/+I=")</f>
        <v>#REF!</v>
      </c>
      <c r="HT99" t="e">
        <f>AND(#REF!,"AAAAAGa9/+M=")</f>
        <v>#REF!</v>
      </c>
      <c r="HU99" t="e">
        <f>AND(#REF!,"AAAAAGa9/+Q=")</f>
        <v>#REF!</v>
      </c>
      <c r="HV99" t="e">
        <f>AND(#REF!,"AAAAAGa9/+U=")</f>
        <v>#REF!</v>
      </c>
      <c r="HW99" t="e">
        <f>AND(#REF!,"AAAAAGa9/+Y=")</f>
        <v>#REF!</v>
      </c>
      <c r="HX99" t="e">
        <f>AND(#REF!,"AAAAAGa9/+c=")</f>
        <v>#REF!</v>
      </c>
      <c r="HY99" t="e">
        <f>AND(#REF!,"AAAAAGa9/+g=")</f>
        <v>#REF!</v>
      </c>
      <c r="HZ99" t="e">
        <f>AND(#REF!,"AAAAAGa9/+k=")</f>
        <v>#REF!</v>
      </c>
      <c r="IA99" t="e">
        <f>AND(#REF!,"AAAAAGa9/+o=")</f>
        <v>#REF!</v>
      </c>
      <c r="IB99" t="e">
        <f>AND(#REF!,"AAAAAGa9/+s=")</f>
        <v>#REF!</v>
      </c>
      <c r="IC99" t="e">
        <f>AND(#REF!,"AAAAAGa9/+w=")</f>
        <v>#REF!</v>
      </c>
      <c r="ID99" t="e">
        <f>AND(#REF!,"AAAAAGa9/+0=")</f>
        <v>#REF!</v>
      </c>
      <c r="IE99" t="e">
        <f>AND(#REF!,"AAAAAGa9/+4=")</f>
        <v>#REF!</v>
      </c>
      <c r="IF99" t="e">
        <f>AND(#REF!,"AAAAAGa9/+8=")</f>
        <v>#REF!</v>
      </c>
      <c r="IG99" t="e">
        <f>AND(#REF!,"AAAAAGa9//A=")</f>
        <v>#REF!</v>
      </c>
      <c r="IH99" t="e">
        <f>AND(#REF!,"AAAAAGa9//E=")</f>
        <v>#REF!</v>
      </c>
      <c r="II99" t="e">
        <f>AND(#REF!,"AAAAAGa9//I=")</f>
        <v>#REF!</v>
      </c>
      <c r="IJ99" t="e">
        <f>AND(#REF!,"AAAAAGa9//M=")</f>
        <v>#REF!</v>
      </c>
      <c r="IK99" t="e">
        <f>AND(#REF!,"AAAAAGa9//Q=")</f>
        <v>#REF!</v>
      </c>
      <c r="IL99" t="e">
        <f>AND(#REF!,"AAAAAGa9//U=")</f>
        <v>#REF!</v>
      </c>
      <c r="IM99" t="e">
        <f>AND(#REF!,"AAAAAGa9//Y=")</f>
        <v>#REF!</v>
      </c>
      <c r="IN99" t="e">
        <f>AND(#REF!,"AAAAAGa9//c=")</f>
        <v>#REF!</v>
      </c>
      <c r="IO99" t="e">
        <f>AND(#REF!,"AAAAAGa9//g=")</f>
        <v>#REF!</v>
      </c>
      <c r="IP99" t="e">
        <f>IF(#REF!,"AAAAAGa9//k=",0)</f>
        <v>#REF!</v>
      </c>
      <c r="IQ99" t="e">
        <f>AND(#REF!,"AAAAAGa9//o=")</f>
        <v>#REF!</v>
      </c>
      <c r="IR99" t="e">
        <f>AND(#REF!,"AAAAAGa9//s=")</f>
        <v>#REF!</v>
      </c>
      <c r="IS99" t="e">
        <f>AND(#REF!,"AAAAAGa9//w=")</f>
        <v>#REF!</v>
      </c>
      <c r="IT99" t="e">
        <f>AND(#REF!,"AAAAAGa9//0=")</f>
        <v>#REF!</v>
      </c>
      <c r="IU99" t="e">
        <f>AND(#REF!,"AAAAAGa9//4=")</f>
        <v>#REF!</v>
      </c>
      <c r="IV99" t="e">
        <f>AND(#REF!,"AAAAAGa9//8=")</f>
        <v>#REF!</v>
      </c>
    </row>
    <row r="100" spans="1:256" x14ac:dyDescent="0.2">
      <c r="A100" t="e">
        <f>AND(#REF!,"AAAAAH9/uwA=")</f>
        <v>#REF!</v>
      </c>
      <c r="B100" t="e">
        <f>AND(#REF!,"AAAAAH9/uwE=")</f>
        <v>#REF!</v>
      </c>
      <c r="C100" t="e">
        <f>AND(#REF!,"AAAAAH9/uwI=")</f>
        <v>#REF!</v>
      </c>
      <c r="D100" t="e">
        <f>AND(#REF!,"AAAAAH9/uwM=")</f>
        <v>#REF!</v>
      </c>
      <c r="E100" t="e">
        <f>AND(#REF!,"AAAAAH9/uwQ=")</f>
        <v>#REF!</v>
      </c>
      <c r="F100" t="e">
        <f>AND(#REF!,"AAAAAH9/uwU=")</f>
        <v>#REF!</v>
      </c>
      <c r="G100" t="e">
        <f>AND(#REF!,"AAAAAH9/uwY=")</f>
        <v>#REF!</v>
      </c>
      <c r="H100" t="e">
        <f>AND(#REF!,"AAAAAH9/uwc=")</f>
        <v>#REF!</v>
      </c>
      <c r="I100" t="e">
        <f>AND(#REF!,"AAAAAH9/uwg=")</f>
        <v>#REF!</v>
      </c>
      <c r="J100" t="e">
        <f>AND(#REF!,"AAAAAH9/uwk=")</f>
        <v>#REF!</v>
      </c>
      <c r="K100" t="e">
        <f>AND(#REF!,"AAAAAH9/uwo=")</f>
        <v>#REF!</v>
      </c>
      <c r="L100" t="e">
        <f>AND(#REF!,"AAAAAH9/uws=")</f>
        <v>#REF!</v>
      </c>
      <c r="M100" t="e">
        <f>AND(#REF!,"AAAAAH9/uww=")</f>
        <v>#REF!</v>
      </c>
      <c r="N100" t="e">
        <f>AND(#REF!,"AAAAAH9/uw0=")</f>
        <v>#REF!</v>
      </c>
      <c r="O100" t="e">
        <f>AND(#REF!,"AAAAAH9/uw4=")</f>
        <v>#REF!</v>
      </c>
      <c r="P100" t="e">
        <f>AND(#REF!,"AAAAAH9/uw8=")</f>
        <v>#REF!</v>
      </c>
      <c r="Q100" t="e">
        <f>AND(#REF!,"AAAAAH9/uxA=")</f>
        <v>#REF!</v>
      </c>
      <c r="R100" t="e">
        <f>AND(#REF!,"AAAAAH9/uxE=")</f>
        <v>#REF!</v>
      </c>
      <c r="S100" t="e">
        <f>AND(#REF!,"AAAAAH9/uxI=")</f>
        <v>#REF!</v>
      </c>
      <c r="T100" t="e">
        <f>AND(#REF!,"AAAAAH9/uxM=")</f>
        <v>#REF!</v>
      </c>
      <c r="U100" t="e">
        <f>IF(#REF!,"AAAAAH9/uxQ=",0)</f>
        <v>#REF!</v>
      </c>
      <c r="V100" t="e">
        <f>AND(#REF!,"AAAAAH9/uxU=")</f>
        <v>#REF!</v>
      </c>
      <c r="W100" t="e">
        <f>AND(#REF!,"AAAAAH9/uxY=")</f>
        <v>#REF!</v>
      </c>
      <c r="X100" t="e">
        <f>AND(#REF!,"AAAAAH9/uxc=")</f>
        <v>#REF!</v>
      </c>
      <c r="Y100" t="e">
        <f>AND(#REF!,"AAAAAH9/uxg=")</f>
        <v>#REF!</v>
      </c>
      <c r="Z100" t="e">
        <f>AND(#REF!,"AAAAAH9/uxk=")</f>
        <v>#REF!</v>
      </c>
      <c r="AA100" t="e">
        <f>AND(#REF!,"AAAAAH9/uxo=")</f>
        <v>#REF!</v>
      </c>
      <c r="AB100" t="e">
        <f>AND(#REF!,"AAAAAH9/uxs=")</f>
        <v>#REF!</v>
      </c>
      <c r="AC100" t="e">
        <f>AND(#REF!,"AAAAAH9/uxw=")</f>
        <v>#REF!</v>
      </c>
      <c r="AD100" t="e">
        <f>AND(#REF!,"AAAAAH9/ux0=")</f>
        <v>#REF!</v>
      </c>
      <c r="AE100" t="e">
        <f>AND(#REF!,"AAAAAH9/ux4=")</f>
        <v>#REF!</v>
      </c>
      <c r="AF100" t="e">
        <f>AND(#REF!,"AAAAAH9/ux8=")</f>
        <v>#REF!</v>
      </c>
      <c r="AG100" t="e">
        <f>AND(#REF!,"AAAAAH9/uyA=")</f>
        <v>#REF!</v>
      </c>
      <c r="AH100" t="e">
        <f>AND(#REF!,"AAAAAH9/uyE=")</f>
        <v>#REF!</v>
      </c>
      <c r="AI100" t="e">
        <f>AND(#REF!,"AAAAAH9/uyI=")</f>
        <v>#REF!</v>
      </c>
      <c r="AJ100" t="e">
        <f>AND(#REF!,"AAAAAH9/uyM=")</f>
        <v>#REF!</v>
      </c>
      <c r="AK100" t="e">
        <f>AND(#REF!,"AAAAAH9/uyQ=")</f>
        <v>#REF!</v>
      </c>
      <c r="AL100" t="e">
        <f>AND(#REF!,"AAAAAH9/uyU=")</f>
        <v>#REF!</v>
      </c>
      <c r="AM100" t="e">
        <f>AND(#REF!,"AAAAAH9/uyY=")</f>
        <v>#REF!</v>
      </c>
      <c r="AN100" t="e">
        <f>AND(#REF!,"AAAAAH9/uyc=")</f>
        <v>#REF!</v>
      </c>
      <c r="AO100" t="e">
        <f>AND(#REF!,"AAAAAH9/uyg=")</f>
        <v>#REF!</v>
      </c>
      <c r="AP100" t="e">
        <f>AND(#REF!,"AAAAAH9/uyk=")</f>
        <v>#REF!</v>
      </c>
      <c r="AQ100" t="e">
        <f>AND(#REF!,"AAAAAH9/uyo=")</f>
        <v>#REF!</v>
      </c>
      <c r="AR100" t="e">
        <f>AND(#REF!,"AAAAAH9/uys=")</f>
        <v>#REF!</v>
      </c>
      <c r="AS100" t="e">
        <f>AND(#REF!,"AAAAAH9/uyw=")</f>
        <v>#REF!</v>
      </c>
      <c r="AT100" t="e">
        <f>AND(#REF!,"AAAAAH9/uy0=")</f>
        <v>#REF!</v>
      </c>
      <c r="AU100" t="e">
        <f>AND(#REF!,"AAAAAH9/uy4=")</f>
        <v>#REF!</v>
      </c>
      <c r="AV100" t="e">
        <f>IF(#REF!,"AAAAAH9/uy8=",0)</f>
        <v>#REF!</v>
      </c>
      <c r="AW100" t="e">
        <f>AND(#REF!,"AAAAAH9/uzA=")</f>
        <v>#REF!</v>
      </c>
      <c r="AX100" t="e">
        <f>AND(#REF!,"AAAAAH9/uzE=")</f>
        <v>#REF!</v>
      </c>
      <c r="AY100" t="e">
        <f>AND(#REF!,"AAAAAH9/uzI=")</f>
        <v>#REF!</v>
      </c>
      <c r="AZ100" t="e">
        <f>AND(#REF!,"AAAAAH9/uzM=")</f>
        <v>#REF!</v>
      </c>
      <c r="BA100" t="e">
        <f>AND(#REF!,"AAAAAH9/uzQ=")</f>
        <v>#REF!</v>
      </c>
      <c r="BB100" t="e">
        <f>AND(#REF!,"AAAAAH9/uzU=")</f>
        <v>#REF!</v>
      </c>
      <c r="BC100" t="e">
        <f>AND(#REF!,"AAAAAH9/uzY=")</f>
        <v>#REF!</v>
      </c>
      <c r="BD100" t="e">
        <f>AND(#REF!,"AAAAAH9/uzc=")</f>
        <v>#REF!</v>
      </c>
      <c r="BE100" t="e">
        <f>AND(#REF!,"AAAAAH9/uzg=")</f>
        <v>#REF!</v>
      </c>
      <c r="BF100" t="e">
        <f>AND(#REF!,"AAAAAH9/uzk=")</f>
        <v>#REF!</v>
      </c>
      <c r="BG100" t="e">
        <f>AND(#REF!,"AAAAAH9/uzo=")</f>
        <v>#REF!</v>
      </c>
      <c r="BH100" t="e">
        <f>AND(#REF!,"AAAAAH9/uzs=")</f>
        <v>#REF!</v>
      </c>
      <c r="BI100" t="e">
        <f>AND(#REF!,"AAAAAH9/uzw=")</f>
        <v>#REF!</v>
      </c>
      <c r="BJ100" t="e">
        <f>AND(#REF!,"AAAAAH9/uz0=")</f>
        <v>#REF!</v>
      </c>
      <c r="BK100" t="e">
        <f>AND(#REF!,"AAAAAH9/uz4=")</f>
        <v>#REF!</v>
      </c>
      <c r="BL100" t="e">
        <f>AND(#REF!,"AAAAAH9/uz8=")</f>
        <v>#REF!</v>
      </c>
      <c r="BM100" t="e">
        <f>AND(#REF!,"AAAAAH9/u0A=")</f>
        <v>#REF!</v>
      </c>
      <c r="BN100" t="e">
        <f>AND(#REF!,"AAAAAH9/u0E=")</f>
        <v>#REF!</v>
      </c>
      <c r="BO100" t="e">
        <f>AND(#REF!,"AAAAAH9/u0I=")</f>
        <v>#REF!</v>
      </c>
      <c r="BP100" t="e">
        <f>AND(#REF!,"AAAAAH9/u0M=")</f>
        <v>#REF!</v>
      </c>
      <c r="BQ100" t="e">
        <f>AND(#REF!,"AAAAAH9/u0Q=")</f>
        <v>#REF!</v>
      </c>
      <c r="BR100" t="e">
        <f>AND(#REF!,"AAAAAH9/u0U=")</f>
        <v>#REF!</v>
      </c>
      <c r="BS100" t="e">
        <f>AND(#REF!,"AAAAAH9/u0Y=")</f>
        <v>#REF!</v>
      </c>
      <c r="BT100" t="e">
        <f>AND(#REF!,"AAAAAH9/u0c=")</f>
        <v>#REF!</v>
      </c>
      <c r="BU100" t="e">
        <f>AND(#REF!,"AAAAAH9/u0g=")</f>
        <v>#REF!</v>
      </c>
      <c r="BV100" t="e">
        <f>AND(#REF!,"AAAAAH9/u0k=")</f>
        <v>#REF!</v>
      </c>
      <c r="BW100" t="e">
        <f>IF(#REF!,"AAAAAH9/u0o=",0)</f>
        <v>#REF!</v>
      </c>
      <c r="BX100" t="e">
        <f>AND(#REF!,"AAAAAH9/u0s=")</f>
        <v>#REF!</v>
      </c>
      <c r="BY100" t="e">
        <f>AND(#REF!,"AAAAAH9/u0w=")</f>
        <v>#REF!</v>
      </c>
      <c r="BZ100" t="e">
        <f>AND(#REF!,"AAAAAH9/u00=")</f>
        <v>#REF!</v>
      </c>
      <c r="CA100" t="e">
        <f>AND(#REF!,"AAAAAH9/u04=")</f>
        <v>#REF!</v>
      </c>
      <c r="CB100" t="e">
        <f>AND(#REF!,"AAAAAH9/u08=")</f>
        <v>#REF!</v>
      </c>
      <c r="CC100" t="e">
        <f>AND(#REF!,"AAAAAH9/u1A=")</f>
        <v>#REF!</v>
      </c>
      <c r="CD100" t="e">
        <f>AND(#REF!,"AAAAAH9/u1E=")</f>
        <v>#REF!</v>
      </c>
      <c r="CE100" t="e">
        <f>AND(#REF!,"AAAAAH9/u1I=")</f>
        <v>#REF!</v>
      </c>
      <c r="CF100" t="e">
        <f>AND(#REF!,"AAAAAH9/u1M=")</f>
        <v>#REF!</v>
      </c>
      <c r="CG100" t="e">
        <f>AND(#REF!,"AAAAAH9/u1Q=")</f>
        <v>#REF!</v>
      </c>
      <c r="CH100" t="e">
        <f>AND(#REF!,"AAAAAH9/u1U=")</f>
        <v>#REF!</v>
      </c>
      <c r="CI100" t="e">
        <f>AND(#REF!,"AAAAAH9/u1Y=")</f>
        <v>#REF!</v>
      </c>
      <c r="CJ100" t="e">
        <f>AND(#REF!,"AAAAAH9/u1c=")</f>
        <v>#REF!</v>
      </c>
      <c r="CK100" t="e">
        <f>AND(#REF!,"AAAAAH9/u1g=")</f>
        <v>#REF!</v>
      </c>
      <c r="CL100" t="e">
        <f>AND(#REF!,"AAAAAH9/u1k=")</f>
        <v>#REF!</v>
      </c>
      <c r="CM100" t="e">
        <f>AND(#REF!,"AAAAAH9/u1o=")</f>
        <v>#REF!</v>
      </c>
      <c r="CN100" t="e">
        <f>AND(#REF!,"AAAAAH9/u1s=")</f>
        <v>#REF!</v>
      </c>
      <c r="CO100" t="e">
        <f>AND(#REF!,"AAAAAH9/u1w=")</f>
        <v>#REF!</v>
      </c>
      <c r="CP100" t="e">
        <f>AND(#REF!,"AAAAAH9/u10=")</f>
        <v>#REF!</v>
      </c>
      <c r="CQ100" t="e">
        <f>AND(#REF!,"AAAAAH9/u14=")</f>
        <v>#REF!</v>
      </c>
      <c r="CR100" t="e">
        <f>AND(#REF!,"AAAAAH9/u18=")</f>
        <v>#REF!</v>
      </c>
      <c r="CS100" t="e">
        <f>AND(#REF!,"AAAAAH9/u2A=")</f>
        <v>#REF!</v>
      </c>
      <c r="CT100" t="e">
        <f>AND(#REF!,"AAAAAH9/u2E=")</f>
        <v>#REF!</v>
      </c>
      <c r="CU100" t="e">
        <f>AND(#REF!,"AAAAAH9/u2I=")</f>
        <v>#REF!</v>
      </c>
      <c r="CV100" t="e">
        <f>AND(#REF!,"AAAAAH9/u2M=")</f>
        <v>#REF!</v>
      </c>
      <c r="CW100" t="e">
        <f>AND(#REF!,"AAAAAH9/u2Q=")</f>
        <v>#REF!</v>
      </c>
      <c r="CX100" t="e">
        <f>IF(#REF!,"AAAAAH9/u2U=",0)</f>
        <v>#REF!</v>
      </c>
      <c r="CY100" t="e">
        <f>AND(#REF!,"AAAAAH9/u2Y=")</f>
        <v>#REF!</v>
      </c>
      <c r="CZ100" t="e">
        <f>AND(#REF!,"AAAAAH9/u2c=")</f>
        <v>#REF!</v>
      </c>
      <c r="DA100" t="e">
        <f>AND(#REF!,"AAAAAH9/u2g=")</f>
        <v>#REF!</v>
      </c>
      <c r="DB100" t="e">
        <f>AND(#REF!,"AAAAAH9/u2k=")</f>
        <v>#REF!</v>
      </c>
      <c r="DC100" t="e">
        <f>AND(#REF!,"AAAAAH9/u2o=")</f>
        <v>#REF!</v>
      </c>
      <c r="DD100" t="e">
        <f>AND(#REF!,"AAAAAH9/u2s=")</f>
        <v>#REF!</v>
      </c>
      <c r="DE100" t="e">
        <f>AND(#REF!,"AAAAAH9/u2w=")</f>
        <v>#REF!</v>
      </c>
      <c r="DF100" t="e">
        <f>AND(#REF!,"AAAAAH9/u20=")</f>
        <v>#REF!</v>
      </c>
      <c r="DG100" t="e">
        <f>AND(#REF!,"AAAAAH9/u24=")</f>
        <v>#REF!</v>
      </c>
      <c r="DH100" t="e">
        <f>AND(#REF!,"AAAAAH9/u28=")</f>
        <v>#REF!</v>
      </c>
      <c r="DI100" t="e">
        <f>AND(#REF!,"AAAAAH9/u3A=")</f>
        <v>#REF!</v>
      </c>
      <c r="DJ100" t="e">
        <f>AND(#REF!,"AAAAAH9/u3E=")</f>
        <v>#REF!</v>
      </c>
      <c r="DK100" t="e">
        <f>AND(#REF!,"AAAAAH9/u3I=")</f>
        <v>#REF!</v>
      </c>
      <c r="DL100" t="e">
        <f>AND(#REF!,"AAAAAH9/u3M=")</f>
        <v>#REF!</v>
      </c>
      <c r="DM100" t="e">
        <f>AND(#REF!,"AAAAAH9/u3Q=")</f>
        <v>#REF!</v>
      </c>
      <c r="DN100" t="e">
        <f>AND(#REF!,"AAAAAH9/u3U=")</f>
        <v>#REF!</v>
      </c>
      <c r="DO100" t="e">
        <f>AND(#REF!,"AAAAAH9/u3Y=")</f>
        <v>#REF!</v>
      </c>
      <c r="DP100" t="e">
        <f>AND(#REF!,"AAAAAH9/u3c=")</f>
        <v>#REF!</v>
      </c>
      <c r="DQ100" t="e">
        <f>AND(#REF!,"AAAAAH9/u3g=")</f>
        <v>#REF!</v>
      </c>
      <c r="DR100" t="e">
        <f>AND(#REF!,"AAAAAH9/u3k=")</f>
        <v>#REF!</v>
      </c>
      <c r="DS100" t="e">
        <f>AND(#REF!,"AAAAAH9/u3o=")</f>
        <v>#REF!</v>
      </c>
      <c r="DT100" t="e">
        <f>AND(#REF!,"AAAAAH9/u3s=")</f>
        <v>#REF!</v>
      </c>
      <c r="DU100" t="e">
        <f>AND(#REF!,"AAAAAH9/u3w=")</f>
        <v>#REF!</v>
      </c>
      <c r="DV100" t="e">
        <f>AND(#REF!,"AAAAAH9/u30=")</f>
        <v>#REF!</v>
      </c>
      <c r="DW100" t="e">
        <f>AND(#REF!,"AAAAAH9/u34=")</f>
        <v>#REF!</v>
      </c>
      <c r="DX100" t="e">
        <f>AND(#REF!,"AAAAAH9/u38=")</f>
        <v>#REF!</v>
      </c>
      <c r="DY100" t="e">
        <f>IF(#REF!,"AAAAAH9/u4A=",0)</f>
        <v>#REF!</v>
      </c>
      <c r="DZ100" t="e">
        <f>AND(#REF!,"AAAAAH9/u4E=")</f>
        <v>#REF!</v>
      </c>
      <c r="EA100" t="e">
        <f>AND(#REF!,"AAAAAH9/u4I=")</f>
        <v>#REF!</v>
      </c>
      <c r="EB100" t="e">
        <f>AND(#REF!,"AAAAAH9/u4M=")</f>
        <v>#REF!</v>
      </c>
      <c r="EC100" t="e">
        <f>AND(#REF!,"AAAAAH9/u4Q=")</f>
        <v>#REF!</v>
      </c>
      <c r="ED100" t="e">
        <f>AND(#REF!,"AAAAAH9/u4U=")</f>
        <v>#REF!</v>
      </c>
      <c r="EE100" t="e">
        <f>AND(#REF!,"AAAAAH9/u4Y=")</f>
        <v>#REF!</v>
      </c>
      <c r="EF100" t="e">
        <f>AND(#REF!,"AAAAAH9/u4c=")</f>
        <v>#REF!</v>
      </c>
      <c r="EG100" t="e">
        <f>AND(#REF!,"AAAAAH9/u4g=")</f>
        <v>#REF!</v>
      </c>
      <c r="EH100" t="e">
        <f>AND(#REF!,"AAAAAH9/u4k=")</f>
        <v>#REF!</v>
      </c>
      <c r="EI100" t="e">
        <f>AND(#REF!,"AAAAAH9/u4o=")</f>
        <v>#REF!</v>
      </c>
      <c r="EJ100" t="e">
        <f>AND(#REF!,"AAAAAH9/u4s=")</f>
        <v>#REF!</v>
      </c>
      <c r="EK100" t="e">
        <f>AND(#REF!,"AAAAAH9/u4w=")</f>
        <v>#REF!</v>
      </c>
      <c r="EL100" t="e">
        <f>AND(#REF!,"AAAAAH9/u40=")</f>
        <v>#REF!</v>
      </c>
      <c r="EM100" t="e">
        <f>AND(#REF!,"AAAAAH9/u44=")</f>
        <v>#REF!</v>
      </c>
      <c r="EN100" t="e">
        <f>AND(#REF!,"AAAAAH9/u48=")</f>
        <v>#REF!</v>
      </c>
      <c r="EO100" t="e">
        <f>AND(#REF!,"AAAAAH9/u5A=")</f>
        <v>#REF!</v>
      </c>
      <c r="EP100" t="e">
        <f>AND(#REF!,"AAAAAH9/u5E=")</f>
        <v>#REF!</v>
      </c>
      <c r="EQ100" t="e">
        <f>AND(#REF!,"AAAAAH9/u5I=")</f>
        <v>#REF!</v>
      </c>
      <c r="ER100" t="e">
        <f>AND(#REF!,"AAAAAH9/u5M=")</f>
        <v>#REF!</v>
      </c>
      <c r="ES100" t="e">
        <f>AND(#REF!,"AAAAAH9/u5Q=")</f>
        <v>#REF!</v>
      </c>
      <c r="ET100" t="e">
        <f>AND(#REF!,"AAAAAH9/u5U=")</f>
        <v>#REF!</v>
      </c>
      <c r="EU100" t="e">
        <f>AND(#REF!,"AAAAAH9/u5Y=")</f>
        <v>#REF!</v>
      </c>
      <c r="EV100" t="e">
        <f>AND(#REF!,"AAAAAH9/u5c=")</f>
        <v>#REF!</v>
      </c>
      <c r="EW100" t="e">
        <f>AND(#REF!,"AAAAAH9/u5g=")</f>
        <v>#REF!</v>
      </c>
      <c r="EX100" t="e">
        <f>AND(#REF!,"AAAAAH9/u5k=")</f>
        <v>#REF!</v>
      </c>
      <c r="EY100" t="e">
        <f>AND(#REF!,"AAAAAH9/u5o=")</f>
        <v>#REF!</v>
      </c>
      <c r="EZ100" t="e">
        <f>IF(#REF!,"AAAAAH9/u5s=",0)</f>
        <v>#REF!</v>
      </c>
      <c r="FA100" t="e">
        <f>AND(#REF!,"AAAAAH9/u5w=")</f>
        <v>#REF!</v>
      </c>
      <c r="FB100" t="e">
        <f>AND(#REF!,"AAAAAH9/u50=")</f>
        <v>#REF!</v>
      </c>
      <c r="FC100" t="e">
        <f>AND(#REF!,"AAAAAH9/u54=")</f>
        <v>#REF!</v>
      </c>
      <c r="FD100" t="e">
        <f>AND(#REF!,"AAAAAH9/u58=")</f>
        <v>#REF!</v>
      </c>
      <c r="FE100" t="e">
        <f>AND(#REF!,"AAAAAH9/u6A=")</f>
        <v>#REF!</v>
      </c>
      <c r="FF100" t="e">
        <f>AND(#REF!,"AAAAAH9/u6E=")</f>
        <v>#REF!</v>
      </c>
      <c r="FG100" t="e">
        <f>AND(#REF!,"AAAAAH9/u6I=")</f>
        <v>#REF!</v>
      </c>
      <c r="FH100" t="e">
        <f>AND(#REF!,"AAAAAH9/u6M=")</f>
        <v>#REF!</v>
      </c>
      <c r="FI100" t="e">
        <f>AND(#REF!,"AAAAAH9/u6Q=")</f>
        <v>#REF!</v>
      </c>
      <c r="FJ100" t="e">
        <f>AND(#REF!,"AAAAAH9/u6U=")</f>
        <v>#REF!</v>
      </c>
      <c r="FK100" t="e">
        <f>AND(#REF!,"AAAAAH9/u6Y=")</f>
        <v>#REF!</v>
      </c>
      <c r="FL100" t="e">
        <f>AND(#REF!,"AAAAAH9/u6c=")</f>
        <v>#REF!</v>
      </c>
      <c r="FM100" t="e">
        <f>AND(#REF!,"AAAAAH9/u6g=")</f>
        <v>#REF!</v>
      </c>
      <c r="FN100" t="e">
        <f>AND(#REF!,"AAAAAH9/u6k=")</f>
        <v>#REF!</v>
      </c>
      <c r="FO100" t="e">
        <f>AND(#REF!,"AAAAAH9/u6o=")</f>
        <v>#REF!</v>
      </c>
      <c r="FP100" t="e">
        <f>AND(#REF!,"AAAAAH9/u6s=")</f>
        <v>#REF!</v>
      </c>
      <c r="FQ100" t="e">
        <f>AND(#REF!,"AAAAAH9/u6w=")</f>
        <v>#REF!</v>
      </c>
      <c r="FR100" t="e">
        <f>AND(#REF!,"AAAAAH9/u60=")</f>
        <v>#REF!</v>
      </c>
      <c r="FS100" t="e">
        <f>AND(#REF!,"AAAAAH9/u64=")</f>
        <v>#REF!</v>
      </c>
      <c r="FT100" t="e">
        <f>AND(#REF!,"AAAAAH9/u68=")</f>
        <v>#REF!</v>
      </c>
      <c r="FU100" t="e">
        <f>AND(#REF!,"AAAAAH9/u7A=")</f>
        <v>#REF!</v>
      </c>
      <c r="FV100" t="e">
        <f>AND(#REF!,"AAAAAH9/u7E=")</f>
        <v>#REF!</v>
      </c>
      <c r="FW100" t="e">
        <f>AND(#REF!,"AAAAAH9/u7I=")</f>
        <v>#REF!</v>
      </c>
      <c r="FX100" t="e">
        <f>AND(#REF!,"AAAAAH9/u7M=")</f>
        <v>#REF!</v>
      </c>
      <c r="FY100" t="e">
        <f>AND(#REF!,"AAAAAH9/u7Q=")</f>
        <v>#REF!</v>
      </c>
      <c r="FZ100" t="e">
        <f>AND(#REF!,"AAAAAH9/u7U=")</f>
        <v>#REF!</v>
      </c>
      <c r="GA100" t="e">
        <f>IF(#REF!,"AAAAAH9/u7Y=",0)</f>
        <v>#REF!</v>
      </c>
      <c r="GB100" t="e">
        <f>AND(#REF!,"AAAAAH9/u7c=")</f>
        <v>#REF!</v>
      </c>
      <c r="GC100" t="e">
        <f>AND(#REF!,"AAAAAH9/u7g=")</f>
        <v>#REF!</v>
      </c>
      <c r="GD100" t="e">
        <f>AND(#REF!,"AAAAAH9/u7k=")</f>
        <v>#REF!</v>
      </c>
      <c r="GE100" t="e">
        <f>AND(#REF!,"AAAAAH9/u7o=")</f>
        <v>#REF!</v>
      </c>
      <c r="GF100" t="e">
        <f>AND(#REF!,"AAAAAH9/u7s=")</f>
        <v>#REF!</v>
      </c>
      <c r="GG100" t="e">
        <f>AND(#REF!,"AAAAAH9/u7w=")</f>
        <v>#REF!</v>
      </c>
      <c r="GH100" t="e">
        <f>AND(#REF!,"AAAAAH9/u70=")</f>
        <v>#REF!</v>
      </c>
      <c r="GI100" t="e">
        <f>AND(#REF!,"AAAAAH9/u74=")</f>
        <v>#REF!</v>
      </c>
      <c r="GJ100" t="e">
        <f>AND(#REF!,"AAAAAH9/u78=")</f>
        <v>#REF!</v>
      </c>
      <c r="GK100" t="e">
        <f>AND(#REF!,"AAAAAH9/u8A=")</f>
        <v>#REF!</v>
      </c>
      <c r="GL100" t="e">
        <f>AND(#REF!,"AAAAAH9/u8E=")</f>
        <v>#REF!</v>
      </c>
      <c r="GM100" t="e">
        <f>AND(#REF!,"AAAAAH9/u8I=")</f>
        <v>#REF!</v>
      </c>
      <c r="GN100" t="e">
        <f>AND(#REF!,"AAAAAH9/u8M=")</f>
        <v>#REF!</v>
      </c>
      <c r="GO100" t="e">
        <f>AND(#REF!,"AAAAAH9/u8Q=")</f>
        <v>#REF!</v>
      </c>
      <c r="GP100" t="e">
        <f>AND(#REF!,"AAAAAH9/u8U=")</f>
        <v>#REF!</v>
      </c>
      <c r="GQ100" t="e">
        <f>AND(#REF!,"AAAAAH9/u8Y=")</f>
        <v>#REF!</v>
      </c>
      <c r="GR100" t="e">
        <f>AND(#REF!,"AAAAAH9/u8c=")</f>
        <v>#REF!</v>
      </c>
      <c r="GS100" t="e">
        <f>AND(#REF!,"AAAAAH9/u8g=")</f>
        <v>#REF!</v>
      </c>
      <c r="GT100" t="e">
        <f>AND(#REF!,"AAAAAH9/u8k=")</f>
        <v>#REF!</v>
      </c>
      <c r="GU100" t="e">
        <f>AND(#REF!,"AAAAAH9/u8o=")</f>
        <v>#REF!</v>
      </c>
      <c r="GV100" t="e">
        <f>AND(#REF!,"AAAAAH9/u8s=")</f>
        <v>#REF!</v>
      </c>
      <c r="GW100" t="e">
        <f>AND(#REF!,"AAAAAH9/u8w=")</f>
        <v>#REF!</v>
      </c>
      <c r="GX100" t="e">
        <f>AND(#REF!,"AAAAAH9/u80=")</f>
        <v>#REF!</v>
      </c>
      <c r="GY100" t="e">
        <f>AND(#REF!,"AAAAAH9/u84=")</f>
        <v>#REF!</v>
      </c>
      <c r="GZ100" t="e">
        <f>AND(#REF!,"AAAAAH9/u88=")</f>
        <v>#REF!</v>
      </c>
      <c r="HA100" t="e">
        <f>AND(#REF!,"AAAAAH9/u9A=")</f>
        <v>#REF!</v>
      </c>
      <c r="HB100" t="e">
        <f>IF(#REF!,"AAAAAH9/u9E=",0)</f>
        <v>#REF!</v>
      </c>
      <c r="HC100" t="e">
        <f>AND(#REF!,"AAAAAH9/u9I=")</f>
        <v>#REF!</v>
      </c>
      <c r="HD100" t="e">
        <f>AND(#REF!,"AAAAAH9/u9M=")</f>
        <v>#REF!</v>
      </c>
      <c r="HE100" t="e">
        <f>AND(#REF!,"AAAAAH9/u9Q=")</f>
        <v>#REF!</v>
      </c>
      <c r="HF100" t="e">
        <f>AND(#REF!,"AAAAAH9/u9U=")</f>
        <v>#REF!</v>
      </c>
      <c r="HG100" t="e">
        <f>AND(#REF!,"AAAAAH9/u9Y=")</f>
        <v>#REF!</v>
      </c>
      <c r="HH100" t="e">
        <f>AND(#REF!,"AAAAAH9/u9c=")</f>
        <v>#REF!</v>
      </c>
      <c r="HI100" t="e">
        <f>AND(#REF!,"AAAAAH9/u9g=")</f>
        <v>#REF!</v>
      </c>
      <c r="HJ100" t="e">
        <f>AND(#REF!,"AAAAAH9/u9k=")</f>
        <v>#REF!</v>
      </c>
      <c r="HK100" t="e">
        <f>AND(#REF!,"AAAAAH9/u9o=")</f>
        <v>#REF!</v>
      </c>
      <c r="HL100" t="e">
        <f>AND(#REF!,"AAAAAH9/u9s=")</f>
        <v>#REF!</v>
      </c>
      <c r="HM100" t="e">
        <f>AND(#REF!,"AAAAAH9/u9w=")</f>
        <v>#REF!</v>
      </c>
      <c r="HN100" t="e">
        <f>AND(#REF!,"AAAAAH9/u90=")</f>
        <v>#REF!</v>
      </c>
      <c r="HO100" t="e">
        <f>AND(#REF!,"AAAAAH9/u94=")</f>
        <v>#REF!</v>
      </c>
      <c r="HP100" t="e">
        <f>AND(#REF!,"AAAAAH9/u98=")</f>
        <v>#REF!</v>
      </c>
      <c r="HQ100" t="e">
        <f>AND(#REF!,"AAAAAH9/u+A=")</f>
        <v>#REF!</v>
      </c>
      <c r="HR100" t="e">
        <f>AND(#REF!,"AAAAAH9/u+E=")</f>
        <v>#REF!</v>
      </c>
      <c r="HS100" t="e">
        <f>AND(#REF!,"AAAAAH9/u+I=")</f>
        <v>#REF!</v>
      </c>
      <c r="HT100" t="e">
        <f>AND(#REF!,"AAAAAH9/u+M=")</f>
        <v>#REF!</v>
      </c>
      <c r="HU100" t="e">
        <f>AND(#REF!,"AAAAAH9/u+Q=")</f>
        <v>#REF!</v>
      </c>
      <c r="HV100" t="e">
        <f>AND(#REF!,"AAAAAH9/u+U=")</f>
        <v>#REF!</v>
      </c>
      <c r="HW100" t="e">
        <f>AND(#REF!,"AAAAAH9/u+Y=")</f>
        <v>#REF!</v>
      </c>
      <c r="HX100" t="e">
        <f>AND(#REF!,"AAAAAH9/u+c=")</f>
        <v>#REF!</v>
      </c>
      <c r="HY100" t="e">
        <f>AND(#REF!,"AAAAAH9/u+g=")</f>
        <v>#REF!</v>
      </c>
      <c r="HZ100" t="e">
        <f>AND(#REF!,"AAAAAH9/u+k=")</f>
        <v>#REF!</v>
      </c>
      <c r="IA100" t="e">
        <f>AND(#REF!,"AAAAAH9/u+o=")</f>
        <v>#REF!</v>
      </c>
      <c r="IB100" t="e">
        <f>AND(#REF!,"AAAAAH9/u+s=")</f>
        <v>#REF!</v>
      </c>
      <c r="IC100" t="e">
        <f>IF(#REF!,"AAAAAH9/u+w=",0)</f>
        <v>#REF!</v>
      </c>
      <c r="ID100" t="e">
        <f>AND(#REF!,"AAAAAH9/u+0=")</f>
        <v>#REF!</v>
      </c>
      <c r="IE100" t="e">
        <f>AND(#REF!,"AAAAAH9/u+4=")</f>
        <v>#REF!</v>
      </c>
      <c r="IF100" t="e">
        <f>AND(#REF!,"AAAAAH9/u+8=")</f>
        <v>#REF!</v>
      </c>
      <c r="IG100" t="e">
        <f>AND(#REF!,"AAAAAH9/u/A=")</f>
        <v>#REF!</v>
      </c>
      <c r="IH100" t="e">
        <f>AND(#REF!,"AAAAAH9/u/E=")</f>
        <v>#REF!</v>
      </c>
      <c r="II100" t="e">
        <f>AND(#REF!,"AAAAAH9/u/I=")</f>
        <v>#REF!</v>
      </c>
      <c r="IJ100" t="e">
        <f>AND(#REF!,"AAAAAH9/u/M=")</f>
        <v>#REF!</v>
      </c>
      <c r="IK100" t="e">
        <f>AND(#REF!,"AAAAAH9/u/Q=")</f>
        <v>#REF!</v>
      </c>
      <c r="IL100" t="e">
        <f>AND(#REF!,"AAAAAH9/u/U=")</f>
        <v>#REF!</v>
      </c>
      <c r="IM100" t="e">
        <f>AND(#REF!,"AAAAAH9/u/Y=")</f>
        <v>#REF!</v>
      </c>
      <c r="IN100" t="e">
        <f>AND(#REF!,"AAAAAH9/u/c=")</f>
        <v>#REF!</v>
      </c>
      <c r="IO100" t="e">
        <f>AND(#REF!,"AAAAAH9/u/g=")</f>
        <v>#REF!</v>
      </c>
      <c r="IP100" t="e">
        <f>AND(#REF!,"AAAAAH9/u/k=")</f>
        <v>#REF!</v>
      </c>
      <c r="IQ100" t="e">
        <f>AND(#REF!,"AAAAAH9/u/o=")</f>
        <v>#REF!</v>
      </c>
      <c r="IR100" t="e">
        <f>AND(#REF!,"AAAAAH9/u/s=")</f>
        <v>#REF!</v>
      </c>
      <c r="IS100" t="e">
        <f>AND(#REF!,"AAAAAH9/u/w=")</f>
        <v>#REF!</v>
      </c>
      <c r="IT100" t="e">
        <f>AND(#REF!,"AAAAAH9/u/0=")</f>
        <v>#REF!</v>
      </c>
      <c r="IU100" t="e">
        <f>AND(#REF!,"AAAAAH9/u/4=")</f>
        <v>#REF!</v>
      </c>
      <c r="IV100" t="e">
        <f>AND(#REF!,"AAAAAH9/u/8=")</f>
        <v>#REF!</v>
      </c>
    </row>
    <row r="101" spans="1:256" x14ac:dyDescent="0.2">
      <c r="A101" t="e">
        <f>AND(#REF!,"AAAAAG331wA=")</f>
        <v>#REF!</v>
      </c>
      <c r="B101" t="e">
        <f>AND(#REF!,"AAAAAG331wE=")</f>
        <v>#REF!</v>
      </c>
      <c r="C101" t="e">
        <f>AND(#REF!,"AAAAAG331wI=")</f>
        <v>#REF!</v>
      </c>
      <c r="D101" t="e">
        <f>AND(#REF!,"AAAAAG331wM=")</f>
        <v>#REF!</v>
      </c>
      <c r="E101" t="e">
        <f>AND(#REF!,"AAAAAG331wQ=")</f>
        <v>#REF!</v>
      </c>
      <c r="F101" t="e">
        <f>AND(#REF!,"AAAAAG331wU=")</f>
        <v>#REF!</v>
      </c>
      <c r="G101" t="e">
        <f>AND(#REF!,"AAAAAG331wY=")</f>
        <v>#REF!</v>
      </c>
      <c r="H101" t="e">
        <f>IF(#REF!,"AAAAAG331wc=",0)</f>
        <v>#REF!</v>
      </c>
      <c r="I101" t="e">
        <f>AND(#REF!,"AAAAAG331wg=")</f>
        <v>#REF!</v>
      </c>
      <c r="J101" t="e">
        <f>AND(#REF!,"AAAAAG331wk=")</f>
        <v>#REF!</v>
      </c>
      <c r="K101" t="e">
        <f>AND(#REF!,"AAAAAG331wo=")</f>
        <v>#REF!</v>
      </c>
      <c r="L101" t="e">
        <f>AND(#REF!,"AAAAAG331ws=")</f>
        <v>#REF!</v>
      </c>
      <c r="M101" t="e">
        <f>AND(#REF!,"AAAAAG331ww=")</f>
        <v>#REF!</v>
      </c>
      <c r="N101" t="e">
        <f>AND(#REF!,"AAAAAG331w0=")</f>
        <v>#REF!</v>
      </c>
      <c r="O101" t="e">
        <f>AND(#REF!,"AAAAAG331w4=")</f>
        <v>#REF!</v>
      </c>
      <c r="P101" t="e">
        <f>AND(#REF!,"AAAAAG331w8=")</f>
        <v>#REF!</v>
      </c>
      <c r="Q101" t="e">
        <f>AND(#REF!,"AAAAAG331xA=")</f>
        <v>#REF!</v>
      </c>
      <c r="R101" t="e">
        <f>AND(#REF!,"AAAAAG331xE=")</f>
        <v>#REF!</v>
      </c>
      <c r="S101" t="e">
        <f>AND(#REF!,"AAAAAG331xI=")</f>
        <v>#REF!</v>
      </c>
      <c r="T101" t="e">
        <f>AND(#REF!,"AAAAAG331xM=")</f>
        <v>#REF!</v>
      </c>
      <c r="U101" t="e">
        <f>AND(#REF!,"AAAAAG331xQ=")</f>
        <v>#REF!</v>
      </c>
      <c r="V101" t="e">
        <f>AND(#REF!,"AAAAAG331xU=")</f>
        <v>#REF!</v>
      </c>
      <c r="W101" t="e">
        <f>AND(#REF!,"AAAAAG331xY=")</f>
        <v>#REF!</v>
      </c>
      <c r="X101" t="e">
        <f>AND(#REF!,"AAAAAG331xc=")</f>
        <v>#REF!</v>
      </c>
      <c r="Y101" t="e">
        <f>AND(#REF!,"AAAAAG331xg=")</f>
        <v>#REF!</v>
      </c>
      <c r="Z101" t="e">
        <f>AND(#REF!,"AAAAAG331xk=")</f>
        <v>#REF!</v>
      </c>
      <c r="AA101" t="e">
        <f>AND(#REF!,"AAAAAG331xo=")</f>
        <v>#REF!</v>
      </c>
      <c r="AB101" t="e">
        <f>AND(#REF!,"AAAAAG331xs=")</f>
        <v>#REF!</v>
      </c>
      <c r="AC101" t="e">
        <f>AND(#REF!,"AAAAAG331xw=")</f>
        <v>#REF!</v>
      </c>
      <c r="AD101" t="e">
        <f>AND(#REF!,"AAAAAG331x0=")</f>
        <v>#REF!</v>
      </c>
      <c r="AE101" t="e">
        <f>AND(#REF!,"AAAAAG331x4=")</f>
        <v>#REF!</v>
      </c>
      <c r="AF101" t="e">
        <f>AND(#REF!,"AAAAAG331x8=")</f>
        <v>#REF!</v>
      </c>
      <c r="AG101" t="e">
        <f>AND(#REF!,"AAAAAG331yA=")</f>
        <v>#REF!</v>
      </c>
      <c r="AH101" t="e">
        <f>AND(#REF!,"AAAAAG331yE=")</f>
        <v>#REF!</v>
      </c>
      <c r="AI101" t="e">
        <f>IF(#REF!,"AAAAAG331yI=",0)</f>
        <v>#REF!</v>
      </c>
      <c r="AJ101" t="e">
        <f>AND(#REF!,"AAAAAG331yM=")</f>
        <v>#REF!</v>
      </c>
      <c r="AK101" t="e">
        <f>AND(#REF!,"AAAAAG331yQ=")</f>
        <v>#REF!</v>
      </c>
      <c r="AL101" t="e">
        <f>AND(#REF!,"AAAAAG331yU=")</f>
        <v>#REF!</v>
      </c>
      <c r="AM101" t="e">
        <f>AND(#REF!,"AAAAAG331yY=")</f>
        <v>#REF!</v>
      </c>
      <c r="AN101" t="e">
        <f>AND(#REF!,"AAAAAG331yc=")</f>
        <v>#REF!</v>
      </c>
      <c r="AO101" t="e">
        <f>AND(#REF!,"AAAAAG331yg=")</f>
        <v>#REF!</v>
      </c>
      <c r="AP101" t="e">
        <f>AND(#REF!,"AAAAAG331yk=")</f>
        <v>#REF!</v>
      </c>
      <c r="AQ101" t="e">
        <f>AND(#REF!,"AAAAAG331yo=")</f>
        <v>#REF!</v>
      </c>
      <c r="AR101" t="e">
        <f>AND(#REF!,"AAAAAG331ys=")</f>
        <v>#REF!</v>
      </c>
      <c r="AS101" t="e">
        <f>AND(#REF!,"AAAAAG331yw=")</f>
        <v>#REF!</v>
      </c>
      <c r="AT101" t="e">
        <f>AND(#REF!,"AAAAAG331y0=")</f>
        <v>#REF!</v>
      </c>
      <c r="AU101" t="e">
        <f>AND(#REF!,"AAAAAG331y4=")</f>
        <v>#REF!</v>
      </c>
      <c r="AV101" t="e">
        <f>AND(#REF!,"AAAAAG331y8=")</f>
        <v>#REF!</v>
      </c>
      <c r="AW101" t="e">
        <f>AND(#REF!,"AAAAAG331zA=")</f>
        <v>#REF!</v>
      </c>
      <c r="AX101" t="e">
        <f>AND(#REF!,"AAAAAG331zE=")</f>
        <v>#REF!</v>
      </c>
      <c r="AY101" t="e">
        <f>AND(#REF!,"AAAAAG331zI=")</f>
        <v>#REF!</v>
      </c>
      <c r="AZ101" t="e">
        <f>AND(#REF!,"AAAAAG331zM=")</f>
        <v>#REF!</v>
      </c>
      <c r="BA101" t="e">
        <f>AND(#REF!,"AAAAAG331zQ=")</f>
        <v>#REF!</v>
      </c>
      <c r="BB101" t="e">
        <f>AND(#REF!,"AAAAAG331zU=")</f>
        <v>#REF!</v>
      </c>
      <c r="BC101" t="e">
        <f>AND(#REF!,"AAAAAG331zY=")</f>
        <v>#REF!</v>
      </c>
      <c r="BD101" t="e">
        <f>AND(#REF!,"AAAAAG331zc=")</f>
        <v>#REF!</v>
      </c>
      <c r="BE101" t="e">
        <f>AND(#REF!,"AAAAAG331zg=")</f>
        <v>#REF!</v>
      </c>
      <c r="BF101" t="e">
        <f>AND(#REF!,"AAAAAG331zk=")</f>
        <v>#REF!</v>
      </c>
      <c r="BG101" t="e">
        <f>AND(#REF!,"AAAAAG331zo=")</f>
        <v>#REF!</v>
      </c>
      <c r="BH101" t="e">
        <f>AND(#REF!,"AAAAAG331zs=")</f>
        <v>#REF!</v>
      </c>
      <c r="BI101" t="e">
        <f>AND(#REF!,"AAAAAG331zw=")</f>
        <v>#REF!</v>
      </c>
      <c r="BJ101" t="e">
        <f>IF(#REF!,"AAAAAG331z0=",0)</f>
        <v>#REF!</v>
      </c>
      <c r="BK101" t="e">
        <f>AND(#REF!,"AAAAAG331z4=")</f>
        <v>#REF!</v>
      </c>
      <c r="BL101" t="e">
        <f>AND(#REF!,"AAAAAG331z8=")</f>
        <v>#REF!</v>
      </c>
      <c r="BM101" t="e">
        <f>AND(#REF!,"AAAAAG3310A=")</f>
        <v>#REF!</v>
      </c>
      <c r="BN101" t="e">
        <f>AND(#REF!,"AAAAAG3310E=")</f>
        <v>#REF!</v>
      </c>
      <c r="BO101" t="e">
        <f>AND(#REF!,"AAAAAG3310I=")</f>
        <v>#REF!</v>
      </c>
      <c r="BP101" t="e">
        <f>AND(#REF!,"AAAAAG3310M=")</f>
        <v>#REF!</v>
      </c>
      <c r="BQ101" t="e">
        <f>AND(#REF!,"AAAAAG3310Q=")</f>
        <v>#REF!</v>
      </c>
      <c r="BR101" t="e">
        <f>AND(#REF!,"AAAAAG3310U=")</f>
        <v>#REF!</v>
      </c>
      <c r="BS101" t="e">
        <f>AND(#REF!,"AAAAAG3310Y=")</f>
        <v>#REF!</v>
      </c>
      <c r="BT101" t="e">
        <f>AND(#REF!,"AAAAAG3310c=")</f>
        <v>#REF!</v>
      </c>
      <c r="BU101" t="e">
        <f>AND(#REF!,"AAAAAG3310g=")</f>
        <v>#REF!</v>
      </c>
      <c r="BV101" t="e">
        <f>AND(#REF!,"AAAAAG3310k=")</f>
        <v>#REF!</v>
      </c>
      <c r="BW101" t="e">
        <f>AND(#REF!,"AAAAAG3310o=")</f>
        <v>#REF!</v>
      </c>
      <c r="BX101" t="e">
        <f>AND(#REF!,"AAAAAG3310s=")</f>
        <v>#REF!</v>
      </c>
      <c r="BY101" t="e">
        <f>AND(#REF!,"AAAAAG3310w=")</f>
        <v>#REF!</v>
      </c>
      <c r="BZ101" t="e">
        <f>AND(#REF!,"AAAAAG33100=")</f>
        <v>#REF!</v>
      </c>
      <c r="CA101" t="e">
        <f>AND(#REF!,"AAAAAG33104=")</f>
        <v>#REF!</v>
      </c>
      <c r="CB101" t="e">
        <f>AND(#REF!,"AAAAAG33108=")</f>
        <v>#REF!</v>
      </c>
      <c r="CC101" t="e">
        <f>AND(#REF!,"AAAAAG3311A=")</f>
        <v>#REF!</v>
      </c>
      <c r="CD101" t="e">
        <f>AND(#REF!,"AAAAAG3311E=")</f>
        <v>#REF!</v>
      </c>
      <c r="CE101" t="e">
        <f>AND(#REF!,"AAAAAG3311I=")</f>
        <v>#REF!</v>
      </c>
      <c r="CF101" t="e">
        <f>AND(#REF!,"AAAAAG3311M=")</f>
        <v>#REF!</v>
      </c>
      <c r="CG101" t="e">
        <f>AND(#REF!,"AAAAAG3311Q=")</f>
        <v>#REF!</v>
      </c>
      <c r="CH101" t="e">
        <f>AND(#REF!,"AAAAAG3311U=")</f>
        <v>#REF!</v>
      </c>
      <c r="CI101" t="e">
        <f>AND(#REF!,"AAAAAG3311Y=")</f>
        <v>#REF!</v>
      </c>
      <c r="CJ101" t="e">
        <f>AND(#REF!,"AAAAAG3311c=")</f>
        <v>#REF!</v>
      </c>
      <c r="CK101" t="e">
        <f>IF(#REF!,"AAAAAG3311g=",0)</f>
        <v>#REF!</v>
      </c>
      <c r="CL101" t="e">
        <f>AND(#REF!,"AAAAAG3311k=")</f>
        <v>#REF!</v>
      </c>
      <c r="CM101" t="e">
        <f>AND(#REF!,"AAAAAG3311o=")</f>
        <v>#REF!</v>
      </c>
      <c r="CN101" t="e">
        <f>AND(#REF!,"AAAAAG3311s=")</f>
        <v>#REF!</v>
      </c>
      <c r="CO101" t="e">
        <f>AND(#REF!,"AAAAAG3311w=")</f>
        <v>#REF!</v>
      </c>
      <c r="CP101" t="e">
        <f>AND(#REF!,"AAAAAG33110=")</f>
        <v>#REF!</v>
      </c>
      <c r="CQ101" t="e">
        <f>AND(#REF!,"AAAAAG33114=")</f>
        <v>#REF!</v>
      </c>
      <c r="CR101" t="e">
        <f>AND(#REF!,"AAAAAG33118=")</f>
        <v>#REF!</v>
      </c>
      <c r="CS101" t="e">
        <f>AND(#REF!,"AAAAAG3312A=")</f>
        <v>#REF!</v>
      </c>
      <c r="CT101" t="e">
        <f>AND(#REF!,"AAAAAG3312E=")</f>
        <v>#REF!</v>
      </c>
      <c r="CU101" t="e">
        <f>AND(#REF!,"AAAAAG3312I=")</f>
        <v>#REF!</v>
      </c>
      <c r="CV101" t="e">
        <f>AND(#REF!,"AAAAAG3312M=")</f>
        <v>#REF!</v>
      </c>
      <c r="CW101" t="e">
        <f>AND(#REF!,"AAAAAG3312Q=")</f>
        <v>#REF!</v>
      </c>
      <c r="CX101" t="e">
        <f>AND(#REF!,"AAAAAG3312U=")</f>
        <v>#REF!</v>
      </c>
      <c r="CY101" t="e">
        <f>AND(#REF!,"AAAAAG3312Y=")</f>
        <v>#REF!</v>
      </c>
      <c r="CZ101" t="e">
        <f>AND(#REF!,"AAAAAG3312c=")</f>
        <v>#REF!</v>
      </c>
      <c r="DA101" t="e">
        <f>AND(#REF!,"AAAAAG3312g=")</f>
        <v>#REF!</v>
      </c>
      <c r="DB101" t="e">
        <f>AND(#REF!,"AAAAAG3312k=")</f>
        <v>#REF!</v>
      </c>
      <c r="DC101" t="e">
        <f>AND(#REF!,"AAAAAG3312o=")</f>
        <v>#REF!</v>
      </c>
      <c r="DD101" t="e">
        <f>AND(#REF!,"AAAAAG3312s=")</f>
        <v>#REF!</v>
      </c>
      <c r="DE101" t="e">
        <f>AND(#REF!,"AAAAAG3312w=")</f>
        <v>#REF!</v>
      </c>
      <c r="DF101" t="e">
        <f>AND(#REF!,"AAAAAG33120=")</f>
        <v>#REF!</v>
      </c>
      <c r="DG101" t="e">
        <f>AND(#REF!,"AAAAAG33124=")</f>
        <v>#REF!</v>
      </c>
      <c r="DH101" t="e">
        <f>AND(#REF!,"AAAAAG33128=")</f>
        <v>#REF!</v>
      </c>
      <c r="DI101" t="e">
        <f>AND(#REF!,"AAAAAG3313A=")</f>
        <v>#REF!</v>
      </c>
      <c r="DJ101" t="e">
        <f>AND(#REF!,"AAAAAG3313E=")</f>
        <v>#REF!</v>
      </c>
      <c r="DK101" t="e">
        <f>AND(#REF!,"AAAAAG3313I=")</f>
        <v>#REF!</v>
      </c>
      <c r="DL101" t="e">
        <f>IF(#REF!,"AAAAAG3313M=",0)</f>
        <v>#REF!</v>
      </c>
      <c r="DM101" t="e">
        <f>AND(#REF!,"AAAAAG3313Q=")</f>
        <v>#REF!</v>
      </c>
      <c r="DN101" t="e">
        <f>AND(#REF!,"AAAAAG3313U=")</f>
        <v>#REF!</v>
      </c>
      <c r="DO101" t="e">
        <f>AND(#REF!,"AAAAAG3313Y=")</f>
        <v>#REF!</v>
      </c>
      <c r="DP101" t="e">
        <f>AND(#REF!,"AAAAAG3313c=")</f>
        <v>#REF!</v>
      </c>
      <c r="DQ101" t="e">
        <f>AND(#REF!,"AAAAAG3313g=")</f>
        <v>#REF!</v>
      </c>
      <c r="DR101" t="e">
        <f>AND(#REF!,"AAAAAG3313k=")</f>
        <v>#REF!</v>
      </c>
      <c r="DS101" t="e">
        <f>AND(#REF!,"AAAAAG3313o=")</f>
        <v>#REF!</v>
      </c>
      <c r="DT101" t="e">
        <f>AND(#REF!,"AAAAAG3313s=")</f>
        <v>#REF!</v>
      </c>
      <c r="DU101" t="e">
        <f>AND(#REF!,"AAAAAG3313w=")</f>
        <v>#REF!</v>
      </c>
      <c r="DV101" t="e">
        <f>AND(#REF!,"AAAAAG33130=")</f>
        <v>#REF!</v>
      </c>
      <c r="DW101" t="e">
        <f>AND(#REF!,"AAAAAG33134=")</f>
        <v>#REF!</v>
      </c>
      <c r="DX101" t="e">
        <f>AND(#REF!,"AAAAAG33138=")</f>
        <v>#REF!</v>
      </c>
      <c r="DY101" t="e">
        <f>AND(#REF!,"AAAAAG3314A=")</f>
        <v>#REF!</v>
      </c>
      <c r="DZ101" t="e">
        <f>AND(#REF!,"AAAAAG3314E=")</f>
        <v>#REF!</v>
      </c>
      <c r="EA101" t="e">
        <f>AND(#REF!,"AAAAAG3314I=")</f>
        <v>#REF!</v>
      </c>
      <c r="EB101" t="e">
        <f>AND(#REF!,"AAAAAG3314M=")</f>
        <v>#REF!</v>
      </c>
      <c r="EC101" t="e">
        <f>AND(#REF!,"AAAAAG3314Q=")</f>
        <v>#REF!</v>
      </c>
      <c r="ED101" t="e">
        <f>AND(#REF!,"AAAAAG3314U=")</f>
        <v>#REF!</v>
      </c>
      <c r="EE101" t="e">
        <f>AND(#REF!,"AAAAAG3314Y=")</f>
        <v>#REF!</v>
      </c>
      <c r="EF101" t="e">
        <f>AND(#REF!,"AAAAAG3314c=")</f>
        <v>#REF!</v>
      </c>
      <c r="EG101" t="e">
        <f>AND(#REF!,"AAAAAG3314g=")</f>
        <v>#REF!</v>
      </c>
      <c r="EH101" t="e">
        <f>AND(#REF!,"AAAAAG3314k=")</f>
        <v>#REF!</v>
      </c>
      <c r="EI101" t="e">
        <f>AND(#REF!,"AAAAAG3314o=")</f>
        <v>#REF!</v>
      </c>
      <c r="EJ101" t="e">
        <f>AND(#REF!,"AAAAAG3314s=")</f>
        <v>#REF!</v>
      </c>
      <c r="EK101" t="e">
        <f>AND(#REF!,"AAAAAG3314w=")</f>
        <v>#REF!</v>
      </c>
      <c r="EL101" t="e">
        <f>AND(#REF!,"AAAAAG33140=")</f>
        <v>#REF!</v>
      </c>
      <c r="EM101" t="e">
        <f>IF(#REF!,"AAAAAG33144=",0)</f>
        <v>#REF!</v>
      </c>
      <c r="EN101" t="e">
        <f>AND(#REF!,"AAAAAG33148=")</f>
        <v>#REF!</v>
      </c>
      <c r="EO101" t="e">
        <f>AND(#REF!,"AAAAAG3315A=")</f>
        <v>#REF!</v>
      </c>
      <c r="EP101" t="e">
        <f>AND(#REF!,"AAAAAG3315E=")</f>
        <v>#REF!</v>
      </c>
      <c r="EQ101" t="e">
        <f>AND(#REF!,"AAAAAG3315I=")</f>
        <v>#REF!</v>
      </c>
      <c r="ER101" t="e">
        <f>AND(#REF!,"AAAAAG3315M=")</f>
        <v>#REF!</v>
      </c>
      <c r="ES101" t="e">
        <f>AND(#REF!,"AAAAAG3315Q=")</f>
        <v>#REF!</v>
      </c>
      <c r="ET101" t="e">
        <f>AND(#REF!,"AAAAAG3315U=")</f>
        <v>#REF!</v>
      </c>
      <c r="EU101" t="e">
        <f>AND(#REF!,"AAAAAG3315Y=")</f>
        <v>#REF!</v>
      </c>
      <c r="EV101" t="e">
        <f>AND(#REF!,"AAAAAG3315c=")</f>
        <v>#REF!</v>
      </c>
      <c r="EW101" t="e">
        <f>AND(#REF!,"AAAAAG3315g=")</f>
        <v>#REF!</v>
      </c>
      <c r="EX101" t="e">
        <f>AND(#REF!,"AAAAAG3315k=")</f>
        <v>#REF!</v>
      </c>
      <c r="EY101" t="e">
        <f>AND(#REF!,"AAAAAG3315o=")</f>
        <v>#REF!</v>
      </c>
      <c r="EZ101" t="e">
        <f>AND(#REF!,"AAAAAG3315s=")</f>
        <v>#REF!</v>
      </c>
      <c r="FA101" t="e">
        <f>AND(#REF!,"AAAAAG3315w=")</f>
        <v>#REF!</v>
      </c>
      <c r="FB101" t="e">
        <f>AND(#REF!,"AAAAAG33150=")</f>
        <v>#REF!</v>
      </c>
      <c r="FC101" t="e">
        <f>AND(#REF!,"AAAAAG33154=")</f>
        <v>#REF!</v>
      </c>
      <c r="FD101" t="e">
        <f>AND(#REF!,"AAAAAG33158=")</f>
        <v>#REF!</v>
      </c>
      <c r="FE101" t="e">
        <f>AND(#REF!,"AAAAAG3316A=")</f>
        <v>#REF!</v>
      </c>
      <c r="FF101" t="e">
        <f>AND(#REF!,"AAAAAG3316E=")</f>
        <v>#REF!</v>
      </c>
      <c r="FG101" t="e">
        <f>AND(#REF!,"AAAAAG3316I=")</f>
        <v>#REF!</v>
      </c>
      <c r="FH101" t="e">
        <f>AND(#REF!,"AAAAAG3316M=")</f>
        <v>#REF!</v>
      </c>
      <c r="FI101" t="e">
        <f>AND(#REF!,"AAAAAG3316Q=")</f>
        <v>#REF!</v>
      </c>
      <c r="FJ101" t="e">
        <f>AND(#REF!,"AAAAAG3316U=")</f>
        <v>#REF!</v>
      </c>
      <c r="FK101" t="e">
        <f>AND(#REF!,"AAAAAG3316Y=")</f>
        <v>#REF!</v>
      </c>
      <c r="FL101" t="e">
        <f>AND(#REF!,"AAAAAG3316c=")</f>
        <v>#REF!</v>
      </c>
      <c r="FM101" t="e">
        <f>AND(#REF!,"AAAAAG3316g=")</f>
        <v>#REF!</v>
      </c>
      <c r="FN101" t="e">
        <f>IF(#REF!,"AAAAAG3316k=",0)</f>
        <v>#REF!</v>
      </c>
      <c r="FO101" t="e">
        <f>AND(#REF!,"AAAAAG3316o=")</f>
        <v>#REF!</v>
      </c>
      <c r="FP101" t="e">
        <f>AND(#REF!,"AAAAAG3316s=")</f>
        <v>#REF!</v>
      </c>
      <c r="FQ101" t="e">
        <f>AND(#REF!,"AAAAAG3316w=")</f>
        <v>#REF!</v>
      </c>
      <c r="FR101" t="e">
        <f>AND(#REF!,"AAAAAG33160=")</f>
        <v>#REF!</v>
      </c>
      <c r="FS101" t="e">
        <f>AND(#REF!,"AAAAAG33164=")</f>
        <v>#REF!</v>
      </c>
      <c r="FT101" t="e">
        <f>AND(#REF!,"AAAAAG33168=")</f>
        <v>#REF!</v>
      </c>
      <c r="FU101" t="e">
        <f>AND(#REF!,"AAAAAG3317A=")</f>
        <v>#REF!</v>
      </c>
      <c r="FV101" t="e">
        <f>AND(#REF!,"AAAAAG3317E=")</f>
        <v>#REF!</v>
      </c>
      <c r="FW101" t="e">
        <f>AND(#REF!,"AAAAAG3317I=")</f>
        <v>#REF!</v>
      </c>
      <c r="FX101" t="e">
        <f>AND(#REF!,"AAAAAG3317M=")</f>
        <v>#REF!</v>
      </c>
      <c r="FY101" t="e">
        <f>AND(#REF!,"AAAAAG3317Q=")</f>
        <v>#REF!</v>
      </c>
      <c r="FZ101" t="e">
        <f>AND(#REF!,"AAAAAG3317U=")</f>
        <v>#REF!</v>
      </c>
      <c r="GA101" t="e">
        <f>AND(#REF!,"AAAAAG3317Y=")</f>
        <v>#REF!</v>
      </c>
      <c r="GB101" t="e">
        <f>AND(#REF!,"AAAAAG3317c=")</f>
        <v>#REF!</v>
      </c>
      <c r="GC101" t="e">
        <f>AND(#REF!,"AAAAAG3317g=")</f>
        <v>#REF!</v>
      </c>
      <c r="GD101" t="e">
        <f>AND(#REF!,"AAAAAG3317k=")</f>
        <v>#REF!</v>
      </c>
      <c r="GE101" t="e">
        <f>AND(#REF!,"AAAAAG3317o=")</f>
        <v>#REF!</v>
      </c>
      <c r="GF101" t="e">
        <f>AND(#REF!,"AAAAAG3317s=")</f>
        <v>#REF!</v>
      </c>
      <c r="GG101" t="e">
        <f>AND(#REF!,"AAAAAG3317w=")</f>
        <v>#REF!</v>
      </c>
      <c r="GH101" t="e">
        <f>AND(#REF!,"AAAAAG33170=")</f>
        <v>#REF!</v>
      </c>
      <c r="GI101" t="e">
        <f>AND(#REF!,"AAAAAG33174=")</f>
        <v>#REF!</v>
      </c>
      <c r="GJ101" t="e">
        <f>AND(#REF!,"AAAAAG33178=")</f>
        <v>#REF!</v>
      </c>
      <c r="GK101" t="e">
        <f>AND(#REF!,"AAAAAG3318A=")</f>
        <v>#REF!</v>
      </c>
      <c r="GL101" t="e">
        <f>AND(#REF!,"AAAAAG3318E=")</f>
        <v>#REF!</v>
      </c>
      <c r="GM101" t="e">
        <f>AND(#REF!,"AAAAAG3318I=")</f>
        <v>#REF!</v>
      </c>
      <c r="GN101" t="e">
        <f>AND(#REF!,"AAAAAG3318M=")</f>
        <v>#REF!</v>
      </c>
      <c r="GO101" t="e">
        <f>IF(#REF!,"AAAAAG3318Q=",0)</f>
        <v>#REF!</v>
      </c>
      <c r="GP101" t="e">
        <f>AND(#REF!,"AAAAAG3318U=")</f>
        <v>#REF!</v>
      </c>
      <c r="GQ101" t="e">
        <f>AND(#REF!,"AAAAAG3318Y=")</f>
        <v>#REF!</v>
      </c>
      <c r="GR101" t="e">
        <f>AND(#REF!,"AAAAAG3318c=")</f>
        <v>#REF!</v>
      </c>
      <c r="GS101" t="e">
        <f>AND(#REF!,"AAAAAG3318g=")</f>
        <v>#REF!</v>
      </c>
      <c r="GT101" t="e">
        <f>AND(#REF!,"AAAAAG3318k=")</f>
        <v>#REF!</v>
      </c>
      <c r="GU101" t="e">
        <f>AND(#REF!,"AAAAAG3318o=")</f>
        <v>#REF!</v>
      </c>
      <c r="GV101" t="e">
        <f>AND(#REF!,"AAAAAG3318s=")</f>
        <v>#REF!</v>
      </c>
      <c r="GW101" t="e">
        <f>AND(#REF!,"AAAAAG3318w=")</f>
        <v>#REF!</v>
      </c>
      <c r="GX101" t="e">
        <f>AND(#REF!,"AAAAAG33180=")</f>
        <v>#REF!</v>
      </c>
      <c r="GY101" t="e">
        <f>AND(#REF!,"AAAAAG33184=")</f>
        <v>#REF!</v>
      </c>
      <c r="GZ101" t="e">
        <f>AND(#REF!,"AAAAAG33188=")</f>
        <v>#REF!</v>
      </c>
      <c r="HA101" t="e">
        <f>AND(#REF!,"AAAAAG3319A=")</f>
        <v>#REF!</v>
      </c>
      <c r="HB101" t="e">
        <f>AND(#REF!,"AAAAAG3319E=")</f>
        <v>#REF!</v>
      </c>
      <c r="HC101" t="e">
        <f>AND(#REF!,"AAAAAG3319I=")</f>
        <v>#REF!</v>
      </c>
      <c r="HD101" t="e">
        <f>AND(#REF!,"AAAAAG3319M=")</f>
        <v>#REF!</v>
      </c>
      <c r="HE101" t="e">
        <f>AND(#REF!,"AAAAAG3319Q=")</f>
        <v>#REF!</v>
      </c>
      <c r="HF101" t="e">
        <f>AND(#REF!,"AAAAAG3319U=")</f>
        <v>#REF!</v>
      </c>
      <c r="HG101" t="e">
        <f>AND(#REF!,"AAAAAG3319Y=")</f>
        <v>#REF!</v>
      </c>
      <c r="HH101" t="e">
        <f>AND(#REF!,"AAAAAG3319c=")</f>
        <v>#REF!</v>
      </c>
      <c r="HI101" t="e">
        <f>AND(#REF!,"AAAAAG3319g=")</f>
        <v>#REF!</v>
      </c>
      <c r="HJ101" t="e">
        <f>AND(#REF!,"AAAAAG3319k=")</f>
        <v>#REF!</v>
      </c>
      <c r="HK101" t="e">
        <f>AND(#REF!,"AAAAAG3319o=")</f>
        <v>#REF!</v>
      </c>
      <c r="HL101" t="e">
        <f>AND(#REF!,"AAAAAG3319s=")</f>
        <v>#REF!</v>
      </c>
      <c r="HM101" t="e">
        <f>AND(#REF!,"AAAAAG3319w=")</f>
        <v>#REF!</v>
      </c>
      <c r="HN101" t="e">
        <f>AND(#REF!,"AAAAAG33190=")</f>
        <v>#REF!</v>
      </c>
      <c r="HO101" t="e">
        <f>AND(#REF!,"AAAAAG33194=")</f>
        <v>#REF!</v>
      </c>
      <c r="HP101" t="e">
        <f>IF(#REF!,"AAAAAG33198=",0)</f>
        <v>#REF!</v>
      </c>
      <c r="HQ101" t="e">
        <f>AND(#REF!,"AAAAAG331+A=")</f>
        <v>#REF!</v>
      </c>
      <c r="HR101" t="e">
        <f>AND(#REF!,"AAAAAG331+E=")</f>
        <v>#REF!</v>
      </c>
      <c r="HS101" t="e">
        <f>AND(#REF!,"AAAAAG331+I=")</f>
        <v>#REF!</v>
      </c>
      <c r="HT101" t="e">
        <f>AND(#REF!,"AAAAAG331+M=")</f>
        <v>#REF!</v>
      </c>
      <c r="HU101" t="e">
        <f>AND(#REF!,"AAAAAG331+Q=")</f>
        <v>#REF!</v>
      </c>
      <c r="HV101" t="e">
        <f>AND(#REF!,"AAAAAG331+U=")</f>
        <v>#REF!</v>
      </c>
      <c r="HW101" t="e">
        <f>AND(#REF!,"AAAAAG331+Y=")</f>
        <v>#REF!</v>
      </c>
      <c r="HX101" t="e">
        <f>AND(#REF!,"AAAAAG331+c=")</f>
        <v>#REF!</v>
      </c>
      <c r="HY101" t="e">
        <f>AND(#REF!,"AAAAAG331+g=")</f>
        <v>#REF!</v>
      </c>
      <c r="HZ101" t="e">
        <f>AND(#REF!,"AAAAAG331+k=")</f>
        <v>#REF!</v>
      </c>
      <c r="IA101" t="e">
        <f>AND(#REF!,"AAAAAG331+o=")</f>
        <v>#REF!</v>
      </c>
      <c r="IB101" t="e">
        <f>AND(#REF!,"AAAAAG331+s=")</f>
        <v>#REF!</v>
      </c>
      <c r="IC101" t="e">
        <f>AND(#REF!,"AAAAAG331+w=")</f>
        <v>#REF!</v>
      </c>
      <c r="ID101" t="e">
        <f>AND(#REF!,"AAAAAG331+0=")</f>
        <v>#REF!</v>
      </c>
      <c r="IE101" t="e">
        <f>AND(#REF!,"AAAAAG331+4=")</f>
        <v>#REF!</v>
      </c>
      <c r="IF101" t="e">
        <f>AND(#REF!,"AAAAAG331+8=")</f>
        <v>#REF!</v>
      </c>
      <c r="IG101" t="e">
        <f>AND(#REF!,"AAAAAG331/A=")</f>
        <v>#REF!</v>
      </c>
      <c r="IH101" t="e">
        <f>AND(#REF!,"AAAAAG331/E=")</f>
        <v>#REF!</v>
      </c>
      <c r="II101" t="e">
        <f>AND(#REF!,"AAAAAG331/I=")</f>
        <v>#REF!</v>
      </c>
      <c r="IJ101" t="e">
        <f>AND(#REF!,"AAAAAG331/M=")</f>
        <v>#REF!</v>
      </c>
      <c r="IK101" t="e">
        <f>AND(#REF!,"AAAAAG331/Q=")</f>
        <v>#REF!</v>
      </c>
      <c r="IL101" t="e">
        <f>AND(#REF!,"AAAAAG331/U=")</f>
        <v>#REF!</v>
      </c>
      <c r="IM101" t="e">
        <f>AND(#REF!,"AAAAAG331/Y=")</f>
        <v>#REF!</v>
      </c>
      <c r="IN101" t="e">
        <f>AND(#REF!,"AAAAAG331/c=")</f>
        <v>#REF!</v>
      </c>
      <c r="IO101" t="e">
        <f>AND(#REF!,"AAAAAG331/g=")</f>
        <v>#REF!</v>
      </c>
      <c r="IP101" t="e">
        <f>AND(#REF!,"AAAAAG331/k=")</f>
        <v>#REF!</v>
      </c>
      <c r="IQ101" t="e">
        <f>IF(#REF!,"AAAAAG331/o=",0)</f>
        <v>#REF!</v>
      </c>
      <c r="IR101" t="e">
        <f>AND(#REF!,"AAAAAG331/s=")</f>
        <v>#REF!</v>
      </c>
      <c r="IS101" t="e">
        <f>AND(#REF!,"AAAAAG331/w=")</f>
        <v>#REF!</v>
      </c>
      <c r="IT101" t="e">
        <f>AND(#REF!,"AAAAAG331/0=")</f>
        <v>#REF!</v>
      </c>
      <c r="IU101" t="e">
        <f>AND(#REF!,"AAAAAG331/4=")</f>
        <v>#REF!</v>
      </c>
      <c r="IV101" t="e">
        <f>AND(#REF!,"AAAAAG331/8=")</f>
        <v>#REF!</v>
      </c>
    </row>
    <row r="102" spans="1:256" x14ac:dyDescent="0.2">
      <c r="A102" t="e">
        <f>AND(#REF!,"AAAAAGR47wA=")</f>
        <v>#REF!</v>
      </c>
      <c r="B102" t="e">
        <f>AND(#REF!,"AAAAAGR47wE=")</f>
        <v>#REF!</v>
      </c>
      <c r="C102" t="e">
        <f>AND(#REF!,"AAAAAGR47wI=")</f>
        <v>#REF!</v>
      </c>
      <c r="D102" t="e">
        <f>AND(#REF!,"AAAAAGR47wM=")</f>
        <v>#REF!</v>
      </c>
      <c r="E102" t="e">
        <f>AND(#REF!,"AAAAAGR47wQ=")</f>
        <v>#REF!</v>
      </c>
      <c r="F102" t="e">
        <f>AND(#REF!,"AAAAAGR47wU=")</f>
        <v>#REF!</v>
      </c>
      <c r="G102" t="e">
        <f>AND(#REF!,"AAAAAGR47wY=")</f>
        <v>#REF!</v>
      </c>
      <c r="H102" t="e">
        <f>AND(#REF!,"AAAAAGR47wc=")</f>
        <v>#REF!</v>
      </c>
      <c r="I102" t="e">
        <f>AND(#REF!,"AAAAAGR47wg=")</f>
        <v>#REF!</v>
      </c>
      <c r="J102" t="e">
        <f>AND(#REF!,"AAAAAGR47wk=")</f>
        <v>#REF!</v>
      </c>
      <c r="K102" t="e">
        <f>AND(#REF!,"AAAAAGR47wo=")</f>
        <v>#REF!</v>
      </c>
      <c r="L102" t="e">
        <f>AND(#REF!,"AAAAAGR47ws=")</f>
        <v>#REF!</v>
      </c>
      <c r="M102" t="e">
        <f>AND(#REF!,"AAAAAGR47ww=")</f>
        <v>#REF!</v>
      </c>
      <c r="N102" t="e">
        <f>AND(#REF!,"AAAAAGR47w0=")</f>
        <v>#REF!</v>
      </c>
      <c r="O102" t="e">
        <f>AND(#REF!,"AAAAAGR47w4=")</f>
        <v>#REF!</v>
      </c>
      <c r="P102" t="e">
        <f>AND(#REF!,"AAAAAGR47w8=")</f>
        <v>#REF!</v>
      </c>
      <c r="Q102" t="e">
        <f>AND(#REF!,"AAAAAGR47xA=")</f>
        <v>#REF!</v>
      </c>
      <c r="R102" t="e">
        <f>AND(#REF!,"AAAAAGR47xE=")</f>
        <v>#REF!</v>
      </c>
      <c r="S102" t="e">
        <f>AND(#REF!,"AAAAAGR47xI=")</f>
        <v>#REF!</v>
      </c>
      <c r="T102" t="e">
        <f>AND(#REF!,"AAAAAGR47xM=")</f>
        <v>#REF!</v>
      </c>
      <c r="U102" t="e">
        <f>AND(#REF!,"AAAAAGR47xQ=")</f>
        <v>#REF!</v>
      </c>
      <c r="V102" t="e">
        <f>IF(#REF!,"AAAAAGR47xU=",0)</f>
        <v>#REF!</v>
      </c>
      <c r="W102" t="e">
        <f>AND(#REF!,"AAAAAGR47xY=")</f>
        <v>#REF!</v>
      </c>
      <c r="X102" t="e">
        <f>AND(#REF!,"AAAAAGR47xc=")</f>
        <v>#REF!</v>
      </c>
      <c r="Y102" t="e">
        <f>AND(#REF!,"AAAAAGR47xg=")</f>
        <v>#REF!</v>
      </c>
      <c r="Z102" t="e">
        <f>AND(#REF!,"AAAAAGR47xk=")</f>
        <v>#REF!</v>
      </c>
      <c r="AA102" t="e">
        <f>AND(#REF!,"AAAAAGR47xo=")</f>
        <v>#REF!</v>
      </c>
      <c r="AB102" t="e">
        <f>AND(#REF!,"AAAAAGR47xs=")</f>
        <v>#REF!</v>
      </c>
      <c r="AC102" t="e">
        <f>AND(#REF!,"AAAAAGR47xw=")</f>
        <v>#REF!</v>
      </c>
      <c r="AD102" t="e">
        <f>AND(#REF!,"AAAAAGR47x0=")</f>
        <v>#REF!</v>
      </c>
      <c r="AE102" t="e">
        <f>AND(#REF!,"AAAAAGR47x4=")</f>
        <v>#REF!</v>
      </c>
      <c r="AF102" t="e">
        <f>AND(#REF!,"AAAAAGR47x8=")</f>
        <v>#REF!</v>
      </c>
      <c r="AG102" t="e">
        <f>AND(#REF!,"AAAAAGR47yA=")</f>
        <v>#REF!</v>
      </c>
      <c r="AH102" t="e">
        <f>AND(#REF!,"AAAAAGR47yE=")</f>
        <v>#REF!</v>
      </c>
      <c r="AI102" t="e">
        <f>AND(#REF!,"AAAAAGR47yI=")</f>
        <v>#REF!</v>
      </c>
      <c r="AJ102" t="e">
        <f>AND(#REF!,"AAAAAGR47yM=")</f>
        <v>#REF!</v>
      </c>
      <c r="AK102" t="e">
        <f>AND(#REF!,"AAAAAGR47yQ=")</f>
        <v>#REF!</v>
      </c>
      <c r="AL102" t="e">
        <f>AND(#REF!,"AAAAAGR47yU=")</f>
        <v>#REF!</v>
      </c>
      <c r="AM102" t="e">
        <f>AND(#REF!,"AAAAAGR47yY=")</f>
        <v>#REF!</v>
      </c>
      <c r="AN102" t="e">
        <f>AND(#REF!,"AAAAAGR47yc=")</f>
        <v>#REF!</v>
      </c>
      <c r="AO102" t="e">
        <f>AND(#REF!,"AAAAAGR47yg=")</f>
        <v>#REF!</v>
      </c>
      <c r="AP102" t="e">
        <f>AND(#REF!,"AAAAAGR47yk=")</f>
        <v>#REF!</v>
      </c>
      <c r="AQ102" t="e">
        <f>AND(#REF!,"AAAAAGR47yo=")</f>
        <v>#REF!</v>
      </c>
      <c r="AR102" t="e">
        <f>AND(#REF!,"AAAAAGR47ys=")</f>
        <v>#REF!</v>
      </c>
      <c r="AS102" t="e">
        <f>AND(#REF!,"AAAAAGR47yw=")</f>
        <v>#REF!</v>
      </c>
      <c r="AT102" t="e">
        <f>AND(#REF!,"AAAAAGR47y0=")</f>
        <v>#REF!</v>
      </c>
      <c r="AU102" t="e">
        <f>AND(#REF!,"AAAAAGR47y4=")</f>
        <v>#REF!</v>
      </c>
      <c r="AV102" t="e">
        <f>AND(#REF!,"AAAAAGR47y8=")</f>
        <v>#REF!</v>
      </c>
      <c r="AW102" t="e">
        <f>IF(#REF!,"AAAAAGR47zA=",0)</f>
        <v>#REF!</v>
      </c>
      <c r="AX102" t="e">
        <f>AND(#REF!,"AAAAAGR47zE=")</f>
        <v>#REF!</v>
      </c>
      <c r="AY102" t="e">
        <f>AND(#REF!,"AAAAAGR47zI=")</f>
        <v>#REF!</v>
      </c>
      <c r="AZ102" t="e">
        <f>AND(#REF!,"AAAAAGR47zM=")</f>
        <v>#REF!</v>
      </c>
      <c r="BA102" t="e">
        <f>AND(#REF!,"AAAAAGR47zQ=")</f>
        <v>#REF!</v>
      </c>
      <c r="BB102" t="e">
        <f>AND(#REF!,"AAAAAGR47zU=")</f>
        <v>#REF!</v>
      </c>
      <c r="BC102" t="e">
        <f>AND(#REF!,"AAAAAGR47zY=")</f>
        <v>#REF!</v>
      </c>
      <c r="BD102" t="e">
        <f>AND(#REF!,"AAAAAGR47zc=")</f>
        <v>#REF!</v>
      </c>
      <c r="BE102" t="e">
        <f>AND(#REF!,"AAAAAGR47zg=")</f>
        <v>#REF!</v>
      </c>
      <c r="BF102" t="e">
        <f>AND(#REF!,"AAAAAGR47zk=")</f>
        <v>#REF!</v>
      </c>
      <c r="BG102" t="e">
        <f>AND(#REF!,"AAAAAGR47zo=")</f>
        <v>#REF!</v>
      </c>
      <c r="BH102" t="e">
        <f>AND(#REF!,"AAAAAGR47zs=")</f>
        <v>#REF!</v>
      </c>
      <c r="BI102" t="e">
        <f>AND(#REF!,"AAAAAGR47zw=")</f>
        <v>#REF!</v>
      </c>
      <c r="BJ102" t="e">
        <f>AND(#REF!,"AAAAAGR47z0=")</f>
        <v>#REF!</v>
      </c>
      <c r="BK102" t="e">
        <f>AND(#REF!,"AAAAAGR47z4=")</f>
        <v>#REF!</v>
      </c>
      <c r="BL102" t="e">
        <f>AND(#REF!,"AAAAAGR47z8=")</f>
        <v>#REF!</v>
      </c>
      <c r="BM102" t="e">
        <f>AND(#REF!,"AAAAAGR470A=")</f>
        <v>#REF!</v>
      </c>
      <c r="BN102" t="e">
        <f>AND(#REF!,"AAAAAGR470E=")</f>
        <v>#REF!</v>
      </c>
      <c r="BO102" t="e">
        <f>AND(#REF!,"AAAAAGR470I=")</f>
        <v>#REF!</v>
      </c>
      <c r="BP102" t="e">
        <f>AND(#REF!,"AAAAAGR470M=")</f>
        <v>#REF!</v>
      </c>
      <c r="BQ102" t="e">
        <f>AND(#REF!,"AAAAAGR470Q=")</f>
        <v>#REF!</v>
      </c>
      <c r="BR102" t="e">
        <f>AND(#REF!,"AAAAAGR470U=")</f>
        <v>#REF!</v>
      </c>
      <c r="BS102" t="e">
        <f>AND(#REF!,"AAAAAGR470Y=")</f>
        <v>#REF!</v>
      </c>
      <c r="BT102" t="e">
        <f>AND(#REF!,"AAAAAGR470c=")</f>
        <v>#REF!</v>
      </c>
      <c r="BU102" t="e">
        <f>AND(#REF!,"AAAAAGR470g=")</f>
        <v>#REF!</v>
      </c>
      <c r="BV102" t="e">
        <f>AND(#REF!,"AAAAAGR470k=")</f>
        <v>#REF!</v>
      </c>
      <c r="BW102" t="e">
        <f>AND(#REF!,"AAAAAGR470o=")</f>
        <v>#REF!</v>
      </c>
      <c r="BX102" t="e">
        <f>IF(#REF!,"AAAAAGR470s=",0)</f>
        <v>#REF!</v>
      </c>
      <c r="BY102" t="e">
        <f>AND(#REF!,"AAAAAGR470w=")</f>
        <v>#REF!</v>
      </c>
      <c r="BZ102" t="e">
        <f>AND(#REF!,"AAAAAGR4700=")</f>
        <v>#REF!</v>
      </c>
      <c r="CA102" t="e">
        <f>AND(#REF!,"AAAAAGR4704=")</f>
        <v>#REF!</v>
      </c>
      <c r="CB102" t="e">
        <f>AND(#REF!,"AAAAAGR4708=")</f>
        <v>#REF!</v>
      </c>
      <c r="CC102" t="e">
        <f>AND(#REF!,"AAAAAGR471A=")</f>
        <v>#REF!</v>
      </c>
      <c r="CD102" t="e">
        <f>AND(#REF!,"AAAAAGR471E=")</f>
        <v>#REF!</v>
      </c>
      <c r="CE102" t="e">
        <f>AND(#REF!,"AAAAAGR471I=")</f>
        <v>#REF!</v>
      </c>
      <c r="CF102" t="e">
        <f>AND(#REF!,"AAAAAGR471M=")</f>
        <v>#REF!</v>
      </c>
      <c r="CG102" t="e">
        <f>AND(#REF!,"AAAAAGR471Q=")</f>
        <v>#REF!</v>
      </c>
      <c r="CH102" t="e">
        <f>AND(#REF!,"AAAAAGR471U=")</f>
        <v>#REF!</v>
      </c>
      <c r="CI102" t="e">
        <f>AND(#REF!,"AAAAAGR471Y=")</f>
        <v>#REF!</v>
      </c>
      <c r="CJ102" t="e">
        <f>AND(#REF!,"AAAAAGR471c=")</f>
        <v>#REF!</v>
      </c>
      <c r="CK102" t="e">
        <f>AND(#REF!,"AAAAAGR471g=")</f>
        <v>#REF!</v>
      </c>
      <c r="CL102" t="e">
        <f>AND(#REF!,"AAAAAGR471k=")</f>
        <v>#REF!</v>
      </c>
      <c r="CM102" t="e">
        <f>AND(#REF!,"AAAAAGR471o=")</f>
        <v>#REF!</v>
      </c>
      <c r="CN102" t="e">
        <f>AND(#REF!,"AAAAAGR471s=")</f>
        <v>#REF!</v>
      </c>
      <c r="CO102" t="e">
        <f>AND(#REF!,"AAAAAGR471w=")</f>
        <v>#REF!</v>
      </c>
      <c r="CP102" t="e">
        <f>AND(#REF!,"AAAAAGR4710=")</f>
        <v>#REF!</v>
      </c>
      <c r="CQ102" t="e">
        <f>AND(#REF!,"AAAAAGR4714=")</f>
        <v>#REF!</v>
      </c>
      <c r="CR102" t="e">
        <f>AND(#REF!,"AAAAAGR4718=")</f>
        <v>#REF!</v>
      </c>
      <c r="CS102" t="e">
        <f>AND(#REF!,"AAAAAGR472A=")</f>
        <v>#REF!</v>
      </c>
      <c r="CT102" t="e">
        <f>AND(#REF!,"AAAAAGR472E=")</f>
        <v>#REF!</v>
      </c>
      <c r="CU102" t="e">
        <f>AND(#REF!,"AAAAAGR472I=")</f>
        <v>#REF!</v>
      </c>
      <c r="CV102" t="e">
        <f>AND(#REF!,"AAAAAGR472M=")</f>
        <v>#REF!</v>
      </c>
      <c r="CW102" t="e">
        <f>AND(#REF!,"AAAAAGR472Q=")</f>
        <v>#REF!</v>
      </c>
      <c r="CX102" t="e">
        <f>AND(#REF!,"AAAAAGR472U=")</f>
        <v>#REF!</v>
      </c>
      <c r="CY102" t="e">
        <f>IF(#REF!,"AAAAAGR472Y=",0)</f>
        <v>#REF!</v>
      </c>
      <c r="CZ102" t="e">
        <f>AND(#REF!,"AAAAAGR472c=")</f>
        <v>#REF!</v>
      </c>
      <c r="DA102" t="e">
        <f>AND(#REF!,"AAAAAGR472g=")</f>
        <v>#REF!</v>
      </c>
      <c r="DB102" t="e">
        <f>AND(#REF!,"AAAAAGR472k=")</f>
        <v>#REF!</v>
      </c>
      <c r="DC102" t="e">
        <f>AND(#REF!,"AAAAAGR472o=")</f>
        <v>#REF!</v>
      </c>
      <c r="DD102" t="e">
        <f>AND(#REF!,"AAAAAGR472s=")</f>
        <v>#REF!</v>
      </c>
      <c r="DE102" t="e">
        <f>AND(#REF!,"AAAAAGR472w=")</f>
        <v>#REF!</v>
      </c>
      <c r="DF102" t="e">
        <f>AND(#REF!,"AAAAAGR4720=")</f>
        <v>#REF!</v>
      </c>
      <c r="DG102" t="e">
        <f>AND(#REF!,"AAAAAGR4724=")</f>
        <v>#REF!</v>
      </c>
      <c r="DH102" t="e">
        <f>AND(#REF!,"AAAAAGR4728=")</f>
        <v>#REF!</v>
      </c>
      <c r="DI102" t="e">
        <f>AND(#REF!,"AAAAAGR473A=")</f>
        <v>#REF!</v>
      </c>
      <c r="DJ102" t="e">
        <f>AND(#REF!,"AAAAAGR473E=")</f>
        <v>#REF!</v>
      </c>
      <c r="DK102" t="e">
        <f>AND(#REF!,"AAAAAGR473I=")</f>
        <v>#REF!</v>
      </c>
      <c r="DL102" t="e">
        <f>AND(#REF!,"AAAAAGR473M=")</f>
        <v>#REF!</v>
      </c>
      <c r="DM102" t="e">
        <f>AND(#REF!,"AAAAAGR473Q=")</f>
        <v>#REF!</v>
      </c>
      <c r="DN102" t="e">
        <f>AND(#REF!,"AAAAAGR473U=")</f>
        <v>#REF!</v>
      </c>
      <c r="DO102" t="e">
        <f>AND(#REF!,"AAAAAGR473Y=")</f>
        <v>#REF!</v>
      </c>
      <c r="DP102" t="e">
        <f>AND(#REF!,"AAAAAGR473c=")</f>
        <v>#REF!</v>
      </c>
      <c r="DQ102" t="e">
        <f>AND(#REF!,"AAAAAGR473g=")</f>
        <v>#REF!</v>
      </c>
      <c r="DR102" t="e">
        <f>AND(#REF!,"AAAAAGR473k=")</f>
        <v>#REF!</v>
      </c>
      <c r="DS102" t="e">
        <f>AND(#REF!,"AAAAAGR473o=")</f>
        <v>#REF!</v>
      </c>
      <c r="DT102" t="e">
        <f>AND(#REF!,"AAAAAGR473s=")</f>
        <v>#REF!</v>
      </c>
      <c r="DU102" t="e">
        <f>AND(#REF!,"AAAAAGR473w=")</f>
        <v>#REF!</v>
      </c>
      <c r="DV102" t="e">
        <f>AND(#REF!,"AAAAAGR4730=")</f>
        <v>#REF!</v>
      </c>
      <c r="DW102" t="e">
        <f>AND(#REF!,"AAAAAGR4734=")</f>
        <v>#REF!</v>
      </c>
      <c r="DX102" t="e">
        <f>AND(#REF!,"AAAAAGR4738=")</f>
        <v>#REF!</v>
      </c>
      <c r="DY102" t="e">
        <f>AND(#REF!,"AAAAAGR474A=")</f>
        <v>#REF!</v>
      </c>
      <c r="DZ102" t="e">
        <f>IF(#REF!,"AAAAAGR474E=",0)</f>
        <v>#REF!</v>
      </c>
      <c r="EA102" t="e">
        <f>AND(#REF!,"AAAAAGR474I=")</f>
        <v>#REF!</v>
      </c>
      <c r="EB102" t="e">
        <f>AND(#REF!,"AAAAAGR474M=")</f>
        <v>#REF!</v>
      </c>
      <c r="EC102" t="e">
        <f>AND(#REF!,"AAAAAGR474Q=")</f>
        <v>#REF!</v>
      </c>
      <c r="ED102" t="e">
        <f>AND(#REF!,"AAAAAGR474U=")</f>
        <v>#REF!</v>
      </c>
      <c r="EE102" t="e">
        <f>AND(#REF!,"AAAAAGR474Y=")</f>
        <v>#REF!</v>
      </c>
      <c r="EF102" t="e">
        <f>AND(#REF!,"AAAAAGR474c=")</f>
        <v>#REF!</v>
      </c>
      <c r="EG102" t="e">
        <f>AND(#REF!,"AAAAAGR474g=")</f>
        <v>#REF!</v>
      </c>
      <c r="EH102" t="e">
        <f>AND(#REF!,"AAAAAGR474k=")</f>
        <v>#REF!</v>
      </c>
      <c r="EI102" t="e">
        <f>AND(#REF!,"AAAAAGR474o=")</f>
        <v>#REF!</v>
      </c>
      <c r="EJ102" t="e">
        <f>AND(#REF!,"AAAAAGR474s=")</f>
        <v>#REF!</v>
      </c>
      <c r="EK102" t="e">
        <f>AND(#REF!,"AAAAAGR474w=")</f>
        <v>#REF!</v>
      </c>
      <c r="EL102" t="e">
        <f>AND(#REF!,"AAAAAGR4740=")</f>
        <v>#REF!</v>
      </c>
      <c r="EM102" t="e">
        <f>AND(#REF!,"AAAAAGR4744=")</f>
        <v>#REF!</v>
      </c>
      <c r="EN102" t="e">
        <f>AND(#REF!,"AAAAAGR4748=")</f>
        <v>#REF!</v>
      </c>
      <c r="EO102" t="e">
        <f>AND(#REF!,"AAAAAGR475A=")</f>
        <v>#REF!</v>
      </c>
      <c r="EP102" t="e">
        <f>AND(#REF!,"AAAAAGR475E=")</f>
        <v>#REF!</v>
      </c>
      <c r="EQ102" t="e">
        <f>AND(#REF!,"AAAAAGR475I=")</f>
        <v>#REF!</v>
      </c>
      <c r="ER102" t="e">
        <f>AND(#REF!,"AAAAAGR475M=")</f>
        <v>#REF!</v>
      </c>
      <c r="ES102" t="e">
        <f>AND(#REF!,"AAAAAGR475Q=")</f>
        <v>#REF!</v>
      </c>
      <c r="ET102" t="e">
        <f>AND(#REF!,"AAAAAGR475U=")</f>
        <v>#REF!</v>
      </c>
      <c r="EU102" t="e">
        <f>AND(#REF!,"AAAAAGR475Y=")</f>
        <v>#REF!</v>
      </c>
      <c r="EV102" t="e">
        <f>AND(#REF!,"AAAAAGR475c=")</f>
        <v>#REF!</v>
      </c>
      <c r="EW102" t="e">
        <f>AND(#REF!,"AAAAAGR475g=")</f>
        <v>#REF!</v>
      </c>
      <c r="EX102" t="e">
        <f>AND(#REF!,"AAAAAGR475k=")</f>
        <v>#REF!</v>
      </c>
      <c r="EY102" t="e">
        <f>AND(#REF!,"AAAAAGR475o=")</f>
        <v>#REF!</v>
      </c>
      <c r="EZ102" t="e">
        <f>AND(#REF!,"AAAAAGR475s=")</f>
        <v>#REF!</v>
      </c>
      <c r="FA102" t="e">
        <f>IF(#REF!,"AAAAAGR475w=",0)</f>
        <v>#REF!</v>
      </c>
      <c r="FB102" t="e">
        <f>AND(#REF!,"AAAAAGR4750=")</f>
        <v>#REF!</v>
      </c>
      <c r="FC102" t="e">
        <f>AND(#REF!,"AAAAAGR4754=")</f>
        <v>#REF!</v>
      </c>
      <c r="FD102" t="e">
        <f>AND(#REF!,"AAAAAGR4758=")</f>
        <v>#REF!</v>
      </c>
      <c r="FE102" t="e">
        <f>AND(#REF!,"AAAAAGR476A=")</f>
        <v>#REF!</v>
      </c>
      <c r="FF102" t="e">
        <f>AND(#REF!,"AAAAAGR476E=")</f>
        <v>#REF!</v>
      </c>
      <c r="FG102" t="e">
        <f>AND(#REF!,"AAAAAGR476I=")</f>
        <v>#REF!</v>
      </c>
      <c r="FH102" t="e">
        <f>AND(#REF!,"AAAAAGR476M=")</f>
        <v>#REF!</v>
      </c>
      <c r="FI102" t="e">
        <f>AND(#REF!,"AAAAAGR476Q=")</f>
        <v>#REF!</v>
      </c>
      <c r="FJ102" t="e">
        <f>AND(#REF!,"AAAAAGR476U=")</f>
        <v>#REF!</v>
      </c>
      <c r="FK102" t="e">
        <f>AND(#REF!,"AAAAAGR476Y=")</f>
        <v>#REF!</v>
      </c>
      <c r="FL102" t="e">
        <f>AND(#REF!,"AAAAAGR476c=")</f>
        <v>#REF!</v>
      </c>
      <c r="FM102" t="e">
        <f>AND(#REF!,"AAAAAGR476g=")</f>
        <v>#REF!</v>
      </c>
      <c r="FN102" t="e">
        <f>AND(#REF!,"AAAAAGR476k=")</f>
        <v>#REF!</v>
      </c>
      <c r="FO102" t="e">
        <f>AND(#REF!,"AAAAAGR476o=")</f>
        <v>#REF!</v>
      </c>
      <c r="FP102" t="e">
        <f>AND(#REF!,"AAAAAGR476s=")</f>
        <v>#REF!</v>
      </c>
      <c r="FQ102" t="e">
        <f>AND(#REF!,"AAAAAGR476w=")</f>
        <v>#REF!</v>
      </c>
      <c r="FR102" t="e">
        <f>AND(#REF!,"AAAAAGR4760=")</f>
        <v>#REF!</v>
      </c>
      <c r="FS102" t="e">
        <f>AND(#REF!,"AAAAAGR4764=")</f>
        <v>#REF!</v>
      </c>
      <c r="FT102" t="e">
        <f>AND(#REF!,"AAAAAGR4768=")</f>
        <v>#REF!</v>
      </c>
      <c r="FU102" t="e">
        <f>AND(#REF!,"AAAAAGR477A=")</f>
        <v>#REF!</v>
      </c>
      <c r="FV102" t="e">
        <f>AND(#REF!,"AAAAAGR477E=")</f>
        <v>#REF!</v>
      </c>
      <c r="FW102" t="e">
        <f>AND(#REF!,"AAAAAGR477I=")</f>
        <v>#REF!</v>
      </c>
      <c r="FX102" t="e">
        <f>AND(#REF!,"AAAAAGR477M=")</f>
        <v>#REF!</v>
      </c>
      <c r="FY102" t="e">
        <f>AND(#REF!,"AAAAAGR477Q=")</f>
        <v>#REF!</v>
      </c>
      <c r="FZ102" t="e">
        <f>AND(#REF!,"AAAAAGR477U=")</f>
        <v>#REF!</v>
      </c>
      <c r="GA102" t="e">
        <f>AND(#REF!,"AAAAAGR477Y=")</f>
        <v>#REF!</v>
      </c>
      <c r="GB102" t="e">
        <f>IF(#REF!,"AAAAAGR477c=",0)</f>
        <v>#REF!</v>
      </c>
      <c r="GC102" t="e">
        <f>AND(#REF!,"AAAAAGR477g=")</f>
        <v>#REF!</v>
      </c>
      <c r="GD102" t="e">
        <f>AND(#REF!,"AAAAAGR477k=")</f>
        <v>#REF!</v>
      </c>
      <c r="GE102" t="e">
        <f>AND(#REF!,"AAAAAGR477o=")</f>
        <v>#REF!</v>
      </c>
      <c r="GF102" t="e">
        <f>AND(#REF!,"AAAAAGR477s=")</f>
        <v>#REF!</v>
      </c>
      <c r="GG102" t="e">
        <f>AND(#REF!,"AAAAAGR477w=")</f>
        <v>#REF!</v>
      </c>
      <c r="GH102" t="e">
        <f>AND(#REF!,"AAAAAGR4770=")</f>
        <v>#REF!</v>
      </c>
      <c r="GI102" t="e">
        <f>AND(#REF!,"AAAAAGR4774=")</f>
        <v>#REF!</v>
      </c>
      <c r="GJ102" t="e">
        <f>AND(#REF!,"AAAAAGR4778=")</f>
        <v>#REF!</v>
      </c>
      <c r="GK102" t="e">
        <f>AND(#REF!,"AAAAAGR478A=")</f>
        <v>#REF!</v>
      </c>
      <c r="GL102" t="e">
        <f>AND(#REF!,"AAAAAGR478E=")</f>
        <v>#REF!</v>
      </c>
      <c r="GM102" t="e">
        <f>AND(#REF!,"AAAAAGR478I=")</f>
        <v>#REF!</v>
      </c>
      <c r="GN102" t="e">
        <f>AND(#REF!,"AAAAAGR478M=")</f>
        <v>#REF!</v>
      </c>
      <c r="GO102" t="e">
        <f>AND(#REF!,"AAAAAGR478Q=")</f>
        <v>#REF!</v>
      </c>
      <c r="GP102" t="e">
        <f>AND(#REF!,"AAAAAGR478U=")</f>
        <v>#REF!</v>
      </c>
      <c r="GQ102" t="e">
        <f>AND(#REF!,"AAAAAGR478Y=")</f>
        <v>#REF!</v>
      </c>
      <c r="GR102" t="e">
        <f>AND(#REF!,"AAAAAGR478c=")</f>
        <v>#REF!</v>
      </c>
      <c r="GS102" t="e">
        <f>AND(#REF!,"AAAAAGR478g=")</f>
        <v>#REF!</v>
      </c>
      <c r="GT102" t="e">
        <f>AND(#REF!,"AAAAAGR478k=")</f>
        <v>#REF!</v>
      </c>
      <c r="GU102" t="e">
        <f>AND(#REF!,"AAAAAGR478o=")</f>
        <v>#REF!</v>
      </c>
      <c r="GV102" t="e">
        <f>AND(#REF!,"AAAAAGR478s=")</f>
        <v>#REF!</v>
      </c>
      <c r="GW102" t="e">
        <f>AND(#REF!,"AAAAAGR478w=")</f>
        <v>#REF!</v>
      </c>
      <c r="GX102" t="e">
        <f>AND(#REF!,"AAAAAGR4780=")</f>
        <v>#REF!</v>
      </c>
      <c r="GY102" t="e">
        <f>AND(#REF!,"AAAAAGR4784=")</f>
        <v>#REF!</v>
      </c>
      <c r="GZ102" t="e">
        <f>AND(#REF!,"AAAAAGR4788=")</f>
        <v>#REF!</v>
      </c>
      <c r="HA102" t="e">
        <f>AND(#REF!,"AAAAAGR479A=")</f>
        <v>#REF!</v>
      </c>
      <c r="HB102" t="e">
        <f>AND(#REF!,"AAAAAGR479E=")</f>
        <v>#REF!</v>
      </c>
      <c r="HC102" t="e">
        <f>IF(#REF!,"AAAAAGR479I=",0)</f>
        <v>#REF!</v>
      </c>
      <c r="HD102" t="e">
        <f>AND(#REF!,"AAAAAGR479M=")</f>
        <v>#REF!</v>
      </c>
      <c r="HE102" t="e">
        <f>AND(#REF!,"AAAAAGR479Q=")</f>
        <v>#REF!</v>
      </c>
      <c r="HF102" t="e">
        <f>AND(#REF!,"AAAAAGR479U=")</f>
        <v>#REF!</v>
      </c>
      <c r="HG102" t="e">
        <f>AND(#REF!,"AAAAAGR479Y=")</f>
        <v>#REF!</v>
      </c>
      <c r="HH102" t="e">
        <f>AND(#REF!,"AAAAAGR479c=")</f>
        <v>#REF!</v>
      </c>
      <c r="HI102" t="e">
        <f>AND(#REF!,"AAAAAGR479g=")</f>
        <v>#REF!</v>
      </c>
      <c r="HJ102" t="e">
        <f>AND(#REF!,"AAAAAGR479k=")</f>
        <v>#REF!</v>
      </c>
      <c r="HK102" t="e">
        <f>AND(#REF!,"AAAAAGR479o=")</f>
        <v>#REF!</v>
      </c>
      <c r="HL102" t="e">
        <f>AND(#REF!,"AAAAAGR479s=")</f>
        <v>#REF!</v>
      </c>
      <c r="HM102" t="e">
        <f>AND(#REF!,"AAAAAGR479w=")</f>
        <v>#REF!</v>
      </c>
      <c r="HN102" t="e">
        <f>AND(#REF!,"AAAAAGR4790=")</f>
        <v>#REF!</v>
      </c>
      <c r="HO102" t="e">
        <f>AND(#REF!,"AAAAAGR4794=")</f>
        <v>#REF!</v>
      </c>
      <c r="HP102" t="e">
        <f>AND(#REF!,"AAAAAGR4798=")</f>
        <v>#REF!</v>
      </c>
      <c r="HQ102" t="e">
        <f>AND(#REF!,"AAAAAGR47+A=")</f>
        <v>#REF!</v>
      </c>
      <c r="HR102" t="e">
        <f>AND(#REF!,"AAAAAGR47+E=")</f>
        <v>#REF!</v>
      </c>
      <c r="HS102" t="e">
        <f>AND(#REF!,"AAAAAGR47+I=")</f>
        <v>#REF!</v>
      </c>
      <c r="HT102" t="e">
        <f>AND(#REF!,"AAAAAGR47+M=")</f>
        <v>#REF!</v>
      </c>
      <c r="HU102" t="e">
        <f>AND(#REF!,"AAAAAGR47+Q=")</f>
        <v>#REF!</v>
      </c>
      <c r="HV102" t="e">
        <f>AND(#REF!,"AAAAAGR47+U=")</f>
        <v>#REF!</v>
      </c>
      <c r="HW102" t="e">
        <f>AND(#REF!,"AAAAAGR47+Y=")</f>
        <v>#REF!</v>
      </c>
      <c r="HX102" t="e">
        <f>AND(#REF!,"AAAAAGR47+c=")</f>
        <v>#REF!</v>
      </c>
      <c r="HY102" t="e">
        <f>AND(#REF!,"AAAAAGR47+g=")</f>
        <v>#REF!</v>
      </c>
      <c r="HZ102" t="e">
        <f>AND(#REF!,"AAAAAGR47+k=")</f>
        <v>#REF!</v>
      </c>
      <c r="IA102" t="e">
        <f>AND(#REF!,"AAAAAGR47+o=")</f>
        <v>#REF!</v>
      </c>
      <c r="IB102" t="e">
        <f>AND(#REF!,"AAAAAGR47+s=")</f>
        <v>#REF!</v>
      </c>
      <c r="IC102" t="e">
        <f>AND(#REF!,"AAAAAGR47+w=")</f>
        <v>#REF!</v>
      </c>
      <c r="ID102" t="e">
        <f>IF(#REF!,"AAAAAGR47+0=",0)</f>
        <v>#REF!</v>
      </c>
      <c r="IE102" t="e">
        <f>AND(#REF!,"AAAAAGR47+4=")</f>
        <v>#REF!</v>
      </c>
      <c r="IF102" t="e">
        <f>AND(#REF!,"AAAAAGR47+8=")</f>
        <v>#REF!</v>
      </c>
      <c r="IG102" t="e">
        <f>AND(#REF!,"AAAAAGR47/A=")</f>
        <v>#REF!</v>
      </c>
      <c r="IH102" t="e">
        <f>AND(#REF!,"AAAAAGR47/E=")</f>
        <v>#REF!</v>
      </c>
      <c r="II102" t="e">
        <f>AND(#REF!,"AAAAAGR47/I=")</f>
        <v>#REF!</v>
      </c>
      <c r="IJ102" t="e">
        <f>AND(#REF!,"AAAAAGR47/M=")</f>
        <v>#REF!</v>
      </c>
      <c r="IK102" t="e">
        <f>AND(#REF!,"AAAAAGR47/Q=")</f>
        <v>#REF!</v>
      </c>
      <c r="IL102" t="e">
        <f>AND(#REF!,"AAAAAGR47/U=")</f>
        <v>#REF!</v>
      </c>
      <c r="IM102" t="e">
        <f>AND(#REF!,"AAAAAGR47/Y=")</f>
        <v>#REF!</v>
      </c>
      <c r="IN102" t="e">
        <f>AND(#REF!,"AAAAAGR47/c=")</f>
        <v>#REF!</v>
      </c>
      <c r="IO102" t="e">
        <f>AND(#REF!,"AAAAAGR47/g=")</f>
        <v>#REF!</v>
      </c>
      <c r="IP102" t="e">
        <f>AND(#REF!,"AAAAAGR47/k=")</f>
        <v>#REF!</v>
      </c>
      <c r="IQ102" t="e">
        <f>AND(#REF!,"AAAAAGR47/o=")</f>
        <v>#REF!</v>
      </c>
      <c r="IR102" t="e">
        <f>AND(#REF!,"AAAAAGR47/s=")</f>
        <v>#REF!</v>
      </c>
      <c r="IS102" t="e">
        <f>AND(#REF!,"AAAAAGR47/w=")</f>
        <v>#REF!</v>
      </c>
      <c r="IT102" t="e">
        <f>AND(#REF!,"AAAAAGR47/0=")</f>
        <v>#REF!</v>
      </c>
      <c r="IU102" t="e">
        <f>AND(#REF!,"AAAAAGR47/4=")</f>
        <v>#REF!</v>
      </c>
      <c r="IV102" t="e">
        <f>AND(#REF!,"AAAAAGR47/8=")</f>
        <v>#REF!</v>
      </c>
    </row>
    <row r="103" spans="1:256" x14ac:dyDescent="0.2">
      <c r="A103" t="e">
        <f>AND(#REF!,"AAAAADp/1wA=")</f>
        <v>#REF!</v>
      </c>
      <c r="B103" t="e">
        <f>AND(#REF!,"AAAAADp/1wE=")</f>
        <v>#REF!</v>
      </c>
      <c r="C103" t="e">
        <f>AND(#REF!,"AAAAADp/1wI=")</f>
        <v>#REF!</v>
      </c>
      <c r="D103" t="e">
        <f>AND(#REF!,"AAAAADp/1wM=")</f>
        <v>#REF!</v>
      </c>
      <c r="E103" t="e">
        <f>AND(#REF!,"AAAAADp/1wQ=")</f>
        <v>#REF!</v>
      </c>
      <c r="F103" t="e">
        <f>AND(#REF!,"AAAAADp/1wU=")</f>
        <v>#REF!</v>
      </c>
      <c r="G103" t="e">
        <f>AND(#REF!,"AAAAADp/1wY=")</f>
        <v>#REF!</v>
      </c>
      <c r="H103" t="e">
        <f>AND(#REF!,"AAAAADp/1wc=")</f>
        <v>#REF!</v>
      </c>
      <c r="I103" t="e">
        <f>IF(#REF!,"AAAAADp/1wg=",0)</f>
        <v>#REF!</v>
      </c>
      <c r="J103" t="e">
        <f>AND(#REF!,"AAAAADp/1wk=")</f>
        <v>#REF!</v>
      </c>
      <c r="K103" t="e">
        <f>AND(#REF!,"AAAAADp/1wo=")</f>
        <v>#REF!</v>
      </c>
      <c r="L103" t="e">
        <f>AND(#REF!,"AAAAADp/1ws=")</f>
        <v>#REF!</v>
      </c>
      <c r="M103" t="e">
        <f>AND(#REF!,"AAAAADp/1ww=")</f>
        <v>#REF!</v>
      </c>
      <c r="N103" t="e">
        <f>AND(#REF!,"AAAAADp/1w0=")</f>
        <v>#REF!</v>
      </c>
      <c r="O103" t="e">
        <f>AND(#REF!,"AAAAADp/1w4=")</f>
        <v>#REF!</v>
      </c>
      <c r="P103" t="e">
        <f>AND(#REF!,"AAAAADp/1w8=")</f>
        <v>#REF!</v>
      </c>
      <c r="Q103" t="e">
        <f>AND(#REF!,"AAAAADp/1xA=")</f>
        <v>#REF!</v>
      </c>
      <c r="R103" t="e">
        <f>AND(#REF!,"AAAAADp/1xE=")</f>
        <v>#REF!</v>
      </c>
      <c r="S103" t="e">
        <f>AND(#REF!,"AAAAADp/1xI=")</f>
        <v>#REF!</v>
      </c>
      <c r="T103" t="e">
        <f>AND(#REF!,"AAAAADp/1xM=")</f>
        <v>#REF!</v>
      </c>
      <c r="U103" t="e">
        <f>AND(#REF!,"AAAAADp/1xQ=")</f>
        <v>#REF!</v>
      </c>
      <c r="V103" t="e">
        <f>AND(#REF!,"AAAAADp/1xU=")</f>
        <v>#REF!</v>
      </c>
      <c r="W103" t="e">
        <f>AND(#REF!,"AAAAADp/1xY=")</f>
        <v>#REF!</v>
      </c>
      <c r="X103" t="e">
        <f>AND(#REF!,"AAAAADp/1xc=")</f>
        <v>#REF!</v>
      </c>
      <c r="Y103" t="e">
        <f>AND(#REF!,"AAAAADp/1xg=")</f>
        <v>#REF!</v>
      </c>
      <c r="Z103" t="e">
        <f>AND(#REF!,"AAAAADp/1xk=")</f>
        <v>#REF!</v>
      </c>
      <c r="AA103" t="e">
        <f>AND(#REF!,"AAAAADp/1xo=")</f>
        <v>#REF!</v>
      </c>
      <c r="AB103" t="e">
        <f>AND(#REF!,"AAAAADp/1xs=")</f>
        <v>#REF!</v>
      </c>
      <c r="AC103" t="e">
        <f>AND(#REF!,"AAAAADp/1xw=")</f>
        <v>#REF!</v>
      </c>
      <c r="AD103" t="e">
        <f>AND(#REF!,"AAAAADp/1x0=")</f>
        <v>#REF!</v>
      </c>
      <c r="AE103" t="e">
        <f>AND(#REF!,"AAAAADp/1x4=")</f>
        <v>#REF!</v>
      </c>
      <c r="AF103" t="e">
        <f>AND(#REF!,"AAAAADp/1x8=")</f>
        <v>#REF!</v>
      </c>
      <c r="AG103" t="e">
        <f>AND(#REF!,"AAAAADp/1yA=")</f>
        <v>#REF!</v>
      </c>
      <c r="AH103" t="e">
        <f>AND(#REF!,"AAAAADp/1yE=")</f>
        <v>#REF!</v>
      </c>
      <c r="AI103" t="e">
        <f>AND(#REF!,"AAAAADp/1yI=")</f>
        <v>#REF!</v>
      </c>
      <c r="AJ103" t="e">
        <f>IF(#REF!,"AAAAADp/1yM=",0)</f>
        <v>#REF!</v>
      </c>
      <c r="AK103" t="e">
        <f>AND(#REF!,"AAAAADp/1yQ=")</f>
        <v>#REF!</v>
      </c>
      <c r="AL103" t="e">
        <f>AND(#REF!,"AAAAADp/1yU=")</f>
        <v>#REF!</v>
      </c>
      <c r="AM103" t="e">
        <f>AND(#REF!,"AAAAADp/1yY=")</f>
        <v>#REF!</v>
      </c>
      <c r="AN103" t="e">
        <f>AND(#REF!,"AAAAADp/1yc=")</f>
        <v>#REF!</v>
      </c>
      <c r="AO103" t="e">
        <f>AND(#REF!,"AAAAADp/1yg=")</f>
        <v>#REF!</v>
      </c>
      <c r="AP103" t="e">
        <f>AND(#REF!,"AAAAADp/1yk=")</f>
        <v>#REF!</v>
      </c>
      <c r="AQ103" t="e">
        <f>AND(#REF!,"AAAAADp/1yo=")</f>
        <v>#REF!</v>
      </c>
      <c r="AR103" t="e">
        <f>AND(#REF!,"AAAAADp/1ys=")</f>
        <v>#REF!</v>
      </c>
      <c r="AS103" t="e">
        <f>AND(#REF!,"AAAAADp/1yw=")</f>
        <v>#REF!</v>
      </c>
      <c r="AT103" t="e">
        <f>AND(#REF!,"AAAAADp/1y0=")</f>
        <v>#REF!</v>
      </c>
      <c r="AU103" t="e">
        <f>AND(#REF!,"AAAAADp/1y4=")</f>
        <v>#REF!</v>
      </c>
      <c r="AV103" t="e">
        <f>AND(#REF!,"AAAAADp/1y8=")</f>
        <v>#REF!</v>
      </c>
      <c r="AW103" t="e">
        <f>AND(#REF!,"AAAAADp/1zA=")</f>
        <v>#REF!</v>
      </c>
      <c r="AX103" t="e">
        <f>AND(#REF!,"AAAAADp/1zE=")</f>
        <v>#REF!</v>
      </c>
      <c r="AY103" t="e">
        <f>AND(#REF!,"AAAAADp/1zI=")</f>
        <v>#REF!</v>
      </c>
      <c r="AZ103" t="e">
        <f>AND(#REF!,"AAAAADp/1zM=")</f>
        <v>#REF!</v>
      </c>
      <c r="BA103" t="e">
        <f>AND(#REF!,"AAAAADp/1zQ=")</f>
        <v>#REF!</v>
      </c>
      <c r="BB103" t="e">
        <f>AND(#REF!,"AAAAADp/1zU=")</f>
        <v>#REF!</v>
      </c>
      <c r="BC103" t="e">
        <f>AND(#REF!,"AAAAADp/1zY=")</f>
        <v>#REF!</v>
      </c>
      <c r="BD103" t="e">
        <f>AND(#REF!,"AAAAADp/1zc=")</f>
        <v>#REF!</v>
      </c>
      <c r="BE103" t="e">
        <f>AND(#REF!,"AAAAADp/1zg=")</f>
        <v>#REF!</v>
      </c>
      <c r="BF103" t="e">
        <f>AND(#REF!,"AAAAADp/1zk=")</f>
        <v>#REF!</v>
      </c>
      <c r="BG103" t="e">
        <f>AND(#REF!,"AAAAADp/1zo=")</f>
        <v>#REF!</v>
      </c>
      <c r="BH103" t="e">
        <f>AND(#REF!,"AAAAADp/1zs=")</f>
        <v>#REF!</v>
      </c>
      <c r="BI103" t="e">
        <f>AND(#REF!,"AAAAADp/1zw=")</f>
        <v>#REF!</v>
      </c>
      <c r="BJ103" t="e">
        <f>AND(#REF!,"AAAAADp/1z0=")</f>
        <v>#REF!</v>
      </c>
      <c r="BK103" t="e">
        <f>IF(#REF!,"AAAAADp/1z4=",0)</f>
        <v>#REF!</v>
      </c>
      <c r="BL103" t="e">
        <f>AND(#REF!,"AAAAADp/1z8=")</f>
        <v>#REF!</v>
      </c>
      <c r="BM103" t="e">
        <f>AND(#REF!,"AAAAADp/10A=")</f>
        <v>#REF!</v>
      </c>
      <c r="BN103" t="e">
        <f>AND(#REF!,"AAAAADp/10E=")</f>
        <v>#REF!</v>
      </c>
      <c r="BO103" t="e">
        <f>AND(#REF!,"AAAAADp/10I=")</f>
        <v>#REF!</v>
      </c>
      <c r="BP103" t="e">
        <f>AND(#REF!,"AAAAADp/10M=")</f>
        <v>#REF!</v>
      </c>
      <c r="BQ103" t="e">
        <f>AND(#REF!,"AAAAADp/10Q=")</f>
        <v>#REF!</v>
      </c>
      <c r="BR103" t="e">
        <f>AND(#REF!,"AAAAADp/10U=")</f>
        <v>#REF!</v>
      </c>
      <c r="BS103" t="e">
        <f>AND(#REF!,"AAAAADp/10Y=")</f>
        <v>#REF!</v>
      </c>
      <c r="BT103" t="e">
        <f>AND(#REF!,"AAAAADp/10c=")</f>
        <v>#REF!</v>
      </c>
      <c r="BU103" t="e">
        <f>AND(#REF!,"AAAAADp/10g=")</f>
        <v>#REF!</v>
      </c>
      <c r="BV103" t="e">
        <f>AND(#REF!,"AAAAADp/10k=")</f>
        <v>#REF!</v>
      </c>
      <c r="BW103" t="e">
        <f>AND(#REF!,"AAAAADp/10o=")</f>
        <v>#REF!</v>
      </c>
      <c r="BX103" t="e">
        <f>AND(#REF!,"AAAAADp/10s=")</f>
        <v>#REF!</v>
      </c>
      <c r="BY103" t="e">
        <f>AND(#REF!,"AAAAADp/10w=")</f>
        <v>#REF!</v>
      </c>
      <c r="BZ103" t="e">
        <f>AND(#REF!,"AAAAADp/100=")</f>
        <v>#REF!</v>
      </c>
      <c r="CA103" t="e">
        <f>AND(#REF!,"AAAAADp/104=")</f>
        <v>#REF!</v>
      </c>
      <c r="CB103" t="e">
        <f>AND(#REF!,"AAAAADp/108=")</f>
        <v>#REF!</v>
      </c>
      <c r="CC103" t="e">
        <f>AND(#REF!,"AAAAADp/11A=")</f>
        <v>#REF!</v>
      </c>
      <c r="CD103" t="e">
        <f>AND(#REF!,"AAAAADp/11E=")</f>
        <v>#REF!</v>
      </c>
      <c r="CE103" t="e">
        <f>AND(#REF!,"AAAAADp/11I=")</f>
        <v>#REF!</v>
      </c>
      <c r="CF103" t="e">
        <f>AND(#REF!,"AAAAADp/11M=")</f>
        <v>#REF!</v>
      </c>
      <c r="CG103" t="e">
        <f>AND(#REF!,"AAAAADp/11Q=")</f>
        <v>#REF!</v>
      </c>
      <c r="CH103" t="e">
        <f>AND(#REF!,"AAAAADp/11U=")</f>
        <v>#REF!</v>
      </c>
      <c r="CI103" t="e">
        <f>AND(#REF!,"AAAAADp/11Y=")</f>
        <v>#REF!</v>
      </c>
      <c r="CJ103" t="e">
        <f>AND(#REF!,"AAAAADp/11c=")</f>
        <v>#REF!</v>
      </c>
      <c r="CK103" t="e">
        <f>AND(#REF!,"AAAAADp/11g=")</f>
        <v>#REF!</v>
      </c>
      <c r="CL103" t="e">
        <f>IF(#REF!,"AAAAADp/11k=",0)</f>
        <v>#REF!</v>
      </c>
      <c r="CM103" t="e">
        <f>AND(#REF!,"AAAAADp/11o=")</f>
        <v>#REF!</v>
      </c>
      <c r="CN103" t="e">
        <f>AND(#REF!,"AAAAADp/11s=")</f>
        <v>#REF!</v>
      </c>
      <c r="CO103" t="e">
        <f>AND(#REF!,"AAAAADp/11w=")</f>
        <v>#REF!</v>
      </c>
      <c r="CP103" t="e">
        <f>AND(#REF!,"AAAAADp/110=")</f>
        <v>#REF!</v>
      </c>
      <c r="CQ103" t="e">
        <f>AND(#REF!,"AAAAADp/114=")</f>
        <v>#REF!</v>
      </c>
      <c r="CR103" t="e">
        <f>AND(#REF!,"AAAAADp/118=")</f>
        <v>#REF!</v>
      </c>
      <c r="CS103" t="e">
        <f>AND(#REF!,"AAAAADp/12A=")</f>
        <v>#REF!</v>
      </c>
      <c r="CT103" t="e">
        <f>AND(#REF!,"AAAAADp/12E=")</f>
        <v>#REF!</v>
      </c>
      <c r="CU103" t="e">
        <f>AND(#REF!,"AAAAADp/12I=")</f>
        <v>#REF!</v>
      </c>
      <c r="CV103" t="e">
        <f>AND(#REF!,"AAAAADp/12M=")</f>
        <v>#REF!</v>
      </c>
      <c r="CW103" t="e">
        <f>AND(#REF!,"AAAAADp/12Q=")</f>
        <v>#REF!</v>
      </c>
      <c r="CX103" t="e">
        <f>AND(#REF!,"AAAAADp/12U=")</f>
        <v>#REF!</v>
      </c>
      <c r="CY103" t="e">
        <f>AND(#REF!,"AAAAADp/12Y=")</f>
        <v>#REF!</v>
      </c>
      <c r="CZ103" t="e">
        <f>AND(#REF!,"AAAAADp/12c=")</f>
        <v>#REF!</v>
      </c>
      <c r="DA103" t="e">
        <f>AND(#REF!,"AAAAADp/12g=")</f>
        <v>#REF!</v>
      </c>
      <c r="DB103" t="e">
        <f>AND(#REF!,"AAAAADp/12k=")</f>
        <v>#REF!</v>
      </c>
      <c r="DC103" t="e">
        <f>AND(#REF!,"AAAAADp/12o=")</f>
        <v>#REF!</v>
      </c>
      <c r="DD103" t="e">
        <f>AND(#REF!,"AAAAADp/12s=")</f>
        <v>#REF!</v>
      </c>
      <c r="DE103" t="e">
        <f>AND(#REF!,"AAAAADp/12w=")</f>
        <v>#REF!</v>
      </c>
      <c r="DF103" t="e">
        <f>AND(#REF!,"AAAAADp/120=")</f>
        <v>#REF!</v>
      </c>
      <c r="DG103" t="e">
        <f>AND(#REF!,"AAAAADp/124=")</f>
        <v>#REF!</v>
      </c>
      <c r="DH103" t="e">
        <f>AND(#REF!,"AAAAADp/128=")</f>
        <v>#REF!</v>
      </c>
      <c r="DI103" t="e">
        <f>AND(#REF!,"AAAAADp/13A=")</f>
        <v>#REF!</v>
      </c>
      <c r="DJ103" t="e">
        <f>AND(#REF!,"AAAAADp/13E=")</f>
        <v>#REF!</v>
      </c>
      <c r="DK103" t="e">
        <f>AND(#REF!,"AAAAADp/13I=")</f>
        <v>#REF!</v>
      </c>
      <c r="DL103" t="e">
        <f>AND(#REF!,"AAAAADp/13M=")</f>
        <v>#REF!</v>
      </c>
      <c r="DM103" t="e">
        <f>IF(#REF!,"AAAAADp/13Q=",0)</f>
        <v>#REF!</v>
      </c>
      <c r="DN103" t="e">
        <f>AND(#REF!,"AAAAADp/13U=")</f>
        <v>#REF!</v>
      </c>
      <c r="DO103" t="e">
        <f>AND(#REF!,"AAAAADp/13Y=")</f>
        <v>#REF!</v>
      </c>
      <c r="DP103" t="e">
        <f>AND(#REF!,"AAAAADp/13c=")</f>
        <v>#REF!</v>
      </c>
      <c r="DQ103" t="e">
        <f>AND(#REF!,"AAAAADp/13g=")</f>
        <v>#REF!</v>
      </c>
      <c r="DR103" t="e">
        <f>AND(#REF!,"AAAAADp/13k=")</f>
        <v>#REF!</v>
      </c>
      <c r="DS103" t="e">
        <f>AND(#REF!,"AAAAADp/13o=")</f>
        <v>#REF!</v>
      </c>
      <c r="DT103" t="e">
        <f>AND(#REF!,"AAAAADp/13s=")</f>
        <v>#REF!</v>
      </c>
      <c r="DU103" t="e">
        <f>AND(#REF!,"AAAAADp/13w=")</f>
        <v>#REF!</v>
      </c>
      <c r="DV103" t="e">
        <f>AND(#REF!,"AAAAADp/130=")</f>
        <v>#REF!</v>
      </c>
      <c r="DW103" t="e">
        <f>AND(#REF!,"AAAAADp/134=")</f>
        <v>#REF!</v>
      </c>
      <c r="DX103" t="e">
        <f>AND(#REF!,"AAAAADp/138=")</f>
        <v>#REF!</v>
      </c>
      <c r="DY103" t="e">
        <f>AND(#REF!,"AAAAADp/14A=")</f>
        <v>#REF!</v>
      </c>
      <c r="DZ103" t="e">
        <f>AND(#REF!,"AAAAADp/14E=")</f>
        <v>#REF!</v>
      </c>
      <c r="EA103" t="e">
        <f>AND(#REF!,"AAAAADp/14I=")</f>
        <v>#REF!</v>
      </c>
      <c r="EB103" t="e">
        <f>AND(#REF!,"AAAAADp/14M=")</f>
        <v>#REF!</v>
      </c>
      <c r="EC103" t="e">
        <f>AND(#REF!,"AAAAADp/14Q=")</f>
        <v>#REF!</v>
      </c>
      <c r="ED103" t="e">
        <f>AND(#REF!,"AAAAADp/14U=")</f>
        <v>#REF!</v>
      </c>
      <c r="EE103" t="e">
        <f>AND(#REF!,"AAAAADp/14Y=")</f>
        <v>#REF!</v>
      </c>
      <c r="EF103" t="e">
        <f>AND(#REF!,"AAAAADp/14c=")</f>
        <v>#REF!</v>
      </c>
      <c r="EG103" t="e">
        <f>AND(#REF!,"AAAAADp/14g=")</f>
        <v>#REF!</v>
      </c>
      <c r="EH103" t="e">
        <f>AND(#REF!,"AAAAADp/14k=")</f>
        <v>#REF!</v>
      </c>
      <c r="EI103" t="e">
        <f>AND(#REF!,"AAAAADp/14o=")</f>
        <v>#REF!</v>
      </c>
      <c r="EJ103" t="e">
        <f>AND(#REF!,"AAAAADp/14s=")</f>
        <v>#REF!</v>
      </c>
      <c r="EK103" t="e">
        <f>AND(#REF!,"AAAAADp/14w=")</f>
        <v>#REF!</v>
      </c>
      <c r="EL103" t="e">
        <f>AND(#REF!,"AAAAADp/140=")</f>
        <v>#REF!</v>
      </c>
      <c r="EM103" t="e">
        <f>AND(#REF!,"AAAAADp/144=")</f>
        <v>#REF!</v>
      </c>
      <c r="EN103" t="e">
        <f>IF(#REF!,"AAAAADp/148=",0)</f>
        <v>#REF!</v>
      </c>
      <c r="EO103" t="e">
        <f>AND(#REF!,"AAAAADp/15A=")</f>
        <v>#REF!</v>
      </c>
      <c r="EP103" t="e">
        <f>AND(#REF!,"AAAAADp/15E=")</f>
        <v>#REF!</v>
      </c>
      <c r="EQ103" t="e">
        <f>AND(#REF!,"AAAAADp/15I=")</f>
        <v>#REF!</v>
      </c>
      <c r="ER103" t="e">
        <f>AND(#REF!,"AAAAADp/15M=")</f>
        <v>#REF!</v>
      </c>
      <c r="ES103" t="e">
        <f>AND(#REF!,"AAAAADp/15Q=")</f>
        <v>#REF!</v>
      </c>
      <c r="ET103" t="e">
        <f>AND(#REF!,"AAAAADp/15U=")</f>
        <v>#REF!</v>
      </c>
      <c r="EU103" t="e">
        <f>AND(#REF!,"AAAAADp/15Y=")</f>
        <v>#REF!</v>
      </c>
      <c r="EV103" t="e">
        <f>AND(#REF!,"AAAAADp/15c=")</f>
        <v>#REF!</v>
      </c>
      <c r="EW103" t="e">
        <f>AND(#REF!,"AAAAADp/15g=")</f>
        <v>#REF!</v>
      </c>
      <c r="EX103" t="e">
        <f>AND(#REF!,"AAAAADp/15k=")</f>
        <v>#REF!</v>
      </c>
      <c r="EY103" t="e">
        <f>AND(#REF!,"AAAAADp/15o=")</f>
        <v>#REF!</v>
      </c>
      <c r="EZ103" t="e">
        <f>AND(#REF!,"AAAAADp/15s=")</f>
        <v>#REF!</v>
      </c>
      <c r="FA103" t="e">
        <f>AND(#REF!,"AAAAADp/15w=")</f>
        <v>#REF!</v>
      </c>
      <c r="FB103" t="e">
        <f>AND(#REF!,"AAAAADp/150=")</f>
        <v>#REF!</v>
      </c>
      <c r="FC103" t="e">
        <f>AND(#REF!,"AAAAADp/154=")</f>
        <v>#REF!</v>
      </c>
      <c r="FD103" t="e">
        <f>AND(#REF!,"AAAAADp/158=")</f>
        <v>#REF!</v>
      </c>
      <c r="FE103" t="e">
        <f>AND(#REF!,"AAAAADp/16A=")</f>
        <v>#REF!</v>
      </c>
      <c r="FF103" t="e">
        <f>AND(#REF!,"AAAAADp/16E=")</f>
        <v>#REF!</v>
      </c>
      <c r="FG103" t="e">
        <f>AND(#REF!,"AAAAADp/16I=")</f>
        <v>#REF!</v>
      </c>
      <c r="FH103" t="e">
        <f>AND(#REF!,"AAAAADp/16M=")</f>
        <v>#REF!</v>
      </c>
      <c r="FI103" t="e">
        <f>AND(#REF!,"AAAAADp/16Q=")</f>
        <v>#REF!</v>
      </c>
      <c r="FJ103" t="e">
        <f>AND(#REF!,"AAAAADp/16U=")</f>
        <v>#REF!</v>
      </c>
      <c r="FK103" t="e">
        <f>AND(#REF!,"AAAAADp/16Y=")</f>
        <v>#REF!</v>
      </c>
      <c r="FL103" t="e">
        <f>AND(#REF!,"AAAAADp/16c=")</f>
        <v>#REF!</v>
      </c>
      <c r="FM103" t="e">
        <f>AND(#REF!,"AAAAADp/16g=")</f>
        <v>#REF!</v>
      </c>
      <c r="FN103" t="e">
        <f>AND(#REF!,"AAAAADp/16k=")</f>
        <v>#REF!</v>
      </c>
      <c r="FO103" t="e">
        <f>IF(#REF!,"AAAAADp/16o=",0)</f>
        <v>#REF!</v>
      </c>
      <c r="FP103" t="e">
        <f>AND(#REF!,"AAAAADp/16s=")</f>
        <v>#REF!</v>
      </c>
      <c r="FQ103" t="e">
        <f>AND(#REF!,"AAAAADp/16w=")</f>
        <v>#REF!</v>
      </c>
      <c r="FR103" t="e">
        <f>AND(#REF!,"AAAAADp/160=")</f>
        <v>#REF!</v>
      </c>
      <c r="FS103" t="e">
        <f>AND(#REF!,"AAAAADp/164=")</f>
        <v>#REF!</v>
      </c>
      <c r="FT103" t="e">
        <f>AND(#REF!,"AAAAADp/168=")</f>
        <v>#REF!</v>
      </c>
      <c r="FU103" t="e">
        <f>AND(#REF!,"AAAAADp/17A=")</f>
        <v>#REF!</v>
      </c>
      <c r="FV103" t="e">
        <f>AND(#REF!,"AAAAADp/17E=")</f>
        <v>#REF!</v>
      </c>
      <c r="FW103" t="e">
        <f>AND(#REF!,"AAAAADp/17I=")</f>
        <v>#REF!</v>
      </c>
      <c r="FX103" t="e">
        <f>AND(#REF!,"AAAAADp/17M=")</f>
        <v>#REF!</v>
      </c>
      <c r="FY103" t="e">
        <f>AND(#REF!,"AAAAADp/17Q=")</f>
        <v>#REF!</v>
      </c>
      <c r="FZ103" t="e">
        <f>AND(#REF!,"AAAAADp/17U=")</f>
        <v>#REF!</v>
      </c>
      <c r="GA103" t="e">
        <f>AND(#REF!,"AAAAADp/17Y=")</f>
        <v>#REF!</v>
      </c>
      <c r="GB103" t="e">
        <f>AND(#REF!,"AAAAADp/17c=")</f>
        <v>#REF!</v>
      </c>
      <c r="GC103" t="e">
        <f>AND(#REF!,"AAAAADp/17g=")</f>
        <v>#REF!</v>
      </c>
      <c r="GD103" t="e">
        <f>AND(#REF!,"AAAAADp/17k=")</f>
        <v>#REF!</v>
      </c>
      <c r="GE103" t="e">
        <f>AND(#REF!,"AAAAADp/17o=")</f>
        <v>#REF!</v>
      </c>
      <c r="GF103" t="e">
        <f>AND(#REF!,"AAAAADp/17s=")</f>
        <v>#REF!</v>
      </c>
      <c r="GG103" t="e">
        <f>AND(#REF!,"AAAAADp/17w=")</f>
        <v>#REF!</v>
      </c>
      <c r="GH103" t="e">
        <f>AND(#REF!,"AAAAADp/170=")</f>
        <v>#REF!</v>
      </c>
      <c r="GI103" t="e">
        <f>AND(#REF!,"AAAAADp/174=")</f>
        <v>#REF!</v>
      </c>
      <c r="GJ103" t="e">
        <f>AND(#REF!,"AAAAADp/178=")</f>
        <v>#REF!</v>
      </c>
      <c r="GK103" t="e">
        <f>AND(#REF!,"AAAAADp/18A=")</f>
        <v>#REF!</v>
      </c>
      <c r="GL103" t="e">
        <f>AND(#REF!,"AAAAADp/18E=")</f>
        <v>#REF!</v>
      </c>
      <c r="GM103" t="e">
        <f>AND(#REF!,"AAAAADp/18I=")</f>
        <v>#REF!</v>
      </c>
      <c r="GN103" t="e">
        <f>AND(#REF!,"AAAAADp/18M=")</f>
        <v>#REF!</v>
      </c>
      <c r="GO103" t="e">
        <f>AND(#REF!,"AAAAADp/18Q=")</f>
        <v>#REF!</v>
      </c>
      <c r="GP103" t="e">
        <f>IF(#REF!,"AAAAADp/18U=",0)</f>
        <v>#REF!</v>
      </c>
      <c r="GQ103" t="e">
        <f>AND(#REF!,"AAAAADp/18Y=")</f>
        <v>#REF!</v>
      </c>
      <c r="GR103" t="e">
        <f>AND(#REF!,"AAAAADp/18c=")</f>
        <v>#REF!</v>
      </c>
      <c r="GS103" t="e">
        <f>AND(#REF!,"AAAAADp/18g=")</f>
        <v>#REF!</v>
      </c>
      <c r="GT103" t="e">
        <f>AND(#REF!,"AAAAADp/18k=")</f>
        <v>#REF!</v>
      </c>
      <c r="GU103" t="e">
        <f>AND(#REF!,"AAAAADp/18o=")</f>
        <v>#REF!</v>
      </c>
      <c r="GV103" t="e">
        <f>AND(#REF!,"AAAAADp/18s=")</f>
        <v>#REF!</v>
      </c>
      <c r="GW103" t="e">
        <f>AND(#REF!,"AAAAADp/18w=")</f>
        <v>#REF!</v>
      </c>
      <c r="GX103" t="e">
        <f>AND(#REF!,"AAAAADp/180=")</f>
        <v>#REF!</v>
      </c>
      <c r="GY103" t="e">
        <f>AND(#REF!,"AAAAADp/184=")</f>
        <v>#REF!</v>
      </c>
      <c r="GZ103" t="e">
        <f>AND(#REF!,"AAAAADp/188=")</f>
        <v>#REF!</v>
      </c>
      <c r="HA103" t="e">
        <f>AND(#REF!,"AAAAADp/19A=")</f>
        <v>#REF!</v>
      </c>
      <c r="HB103" t="e">
        <f>AND(#REF!,"AAAAADp/19E=")</f>
        <v>#REF!</v>
      </c>
      <c r="HC103" t="e">
        <f>AND(#REF!,"AAAAADp/19I=")</f>
        <v>#REF!</v>
      </c>
      <c r="HD103" t="e">
        <f>AND(#REF!,"AAAAADp/19M=")</f>
        <v>#REF!</v>
      </c>
      <c r="HE103" t="e">
        <f>AND(#REF!,"AAAAADp/19Q=")</f>
        <v>#REF!</v>
      </c>
      <c r="HF103" t="e">
        <f>AND(#REF!,"AAAAADp/19U=")</f>
        <v>#REF!</v>
      </c>
      <c r="HG103" t="e">
        <f>AND(#REF!,"AAAAADp/19Y=")</f>
        <v>#REF!</v>
      </c>
      <c r="HH103" t="e">
        <f>AND(#REF!,"AAAAADp/19c=")</f>
        <v>#REF!</v>
      </c>
      <c r="HI103" t="e">
        <f>AND(#REF!,"AAAAADp/19g=")</f>
        <v>#REF!</v>
      </c>
      <c r="HJ103" t="e">
        <f>AND(#REF!,"AAAAADp/19k=")</f>
        <v>#REF!</v>
      </c>
      <c r="HK103" t="e">
        <f>AND(#REF!,"AAAAADp/19o=")</f>
        <v>#REF!</v>
      </c>
      <c r="HL103" t="e">
        <f>AND(#REF!,"AAAAADp/19s=")</f>
        <v>#REF!</v>
      </c>
      <c r="HM103" t="e">
        <f>AND(#REF!,"AAAAADp/19w=")</f>
        <v>#REF!</v>
      </c>
      <c r="HN103" t="e">
        <f>AND(#REF!,"AAAAADp/190=")</f>
        <v>#REF!</v>
      </c>
      <c r="HO103" t="e">
        <f>AND(#REF!,"AAAAADp/194=")</f>
        <v>#REF!</v>
      </c>
      <c r="HP103" t="e">
        <f>AND(#REF!,"AAAAADp/198=")</f>
        <v>#REF!</v>
      </c>
      <c r="HQ103" t="e">
        <f>IF(#REF!,"AAAAADp/1+A=",0)</f>
        <v>#REF!</v>
      </c>
      <c r="HR103" t="e">
        <f>AND(#REF!,"AAAAADp/1+E=")</f>
        <v>#REF!</v>
      </c>
      <c r="HS103" t="e">
        <f>AND(#REF!,"AAAAADp/1+I=")</f>
        <v>#REF!</v>
      </c>
      <c r="HT103" t="e">
        <f>AND(#REF!,"AAAAADp/1+M=")</f>
        <v>#REF!</v>
      </c>
      <c r="HU103" t="e">
        <f>AND(#REF!,"AAAAADp/1+Q=")</f>
        <v>#REF!</v>
      </c>
      <c r="HV103" t="e">
        <f>AND(#REF!,"AAAAADp/1+U=")</f>
        <v>#REF!</v>
      </c>
      <c r="HW103" t="e">
        <f>AND(#REF!,"AAAAADp/1+Y=")</f>
        <v>#REF!</v>
      </c>
      <c r="HX103" t="e">
        <f>AND(#REF!,"AAAAADp/1+c=")</f>
        <v>#REF!</v>
      </c>
      <c r="HY103" t="e">
        <f>AND(#REF!,"AAAAADp/1+g=")</f>
        <v>#REF!</v>
      </c>
      <c r="HZ103" t="e">
        <f>AND(#REF!,"AAAAADp/1+k=")</f>
        <v>#REF!</v>
      </c>
      <c r="IA103" t="e">
        <f>AND(#REF!,"AAAAADp/1+o=")</f>
        <v>#REF!</v>
      </c>
      <c r="IB103" t="e">
        <f>AND(#REF!,"AAAAADp/1+s=")</f>
        <v>#REF!</v>
      </c>
      <c r="IC103" t="e">
        <f>AND(#REF!,"AAAAADp/1+w=")</f>
        <v>#REF!</v>
      </c>
      <c r="ID103" t="e">
        <f>AND(#REF!,"AAAAADp/1+0=")</f>
        <v>#REF!</v>
      </c>
      <c r="IE103" t="e">
        <f>AND(#REF!,"AAAAADp/1+4=")</f>
        <v>#REF!</v>
      </c>
      <c r="IF103" t="e">
        <f>AND(#REF!,"AAAAADp/1+8=")</f>
        <v>#REF!</v>
      </c>
      <c r="IG103" t="e">
        <f>AND(#REF!,"AAAAADp/1/A=")</f>
        <v>#REF!</v>
      </c>
      <c r="IH103" t="e">
        <f>AND(#REF!,"AAAAADp/1/E=")</f>
        <v>#REF!</v>
      </c>
      <c r="II103" t="e">
        <f>AND(#REF!,"AAAAADp/1/I=")</f>
        <v>#REF!</v>
      </c>
      <c r="IJ103" t="e">
        <f>AND(#REF!,"AAAAADp/1/M=")</f>
        <v>#REF!</v>
      </c>
      <c r="IK103" t="e">
        <f>AND(#REF!,"AAAAADp/1/Q=")</f>
        <v>#REF!</v>
      </c>
      <c r="IL103" t="e">
        <f>AND(#REF!,"AAAAADp/1/U=")</f>
        <v>#REF!</v>
      </c>
      <c r="IM103" t="e">
        <f>AND(#REF!,"AAAAADp/1/Y=")</f>
        <v>#REF!</v>
      </c>
      <c r="IN103" t="e">
        <f>AND(#REF!,"AAAAADp/1/c=")</f>
        <v>#REF!</v>
      </c>
      <c r="IO103" t="e">
        <f>AND(#REF!,"AAAAADp/1/g=")</f>
        <v>#REF!</v>
      </c>
      <c r="IP103" t="e">
        <f>AND(#REF!,"AAAAADp/1/k=")</f>
        <v>#REF!</v>
      </c>
      <c r="IQ103" t="e">
        <f>AND(#REF!,"AAAAADp/1/o=")</f>
        <v>#REF!</v>
      </c>
      <c r="IR103" t="e">
        <f>IF(#REF!,"AAAAADp/1/s=",0)</f>
        <v>#REF!</v>
      </c>
      <c r="IS103" t="e">
        <f>AND(#REF!,"AAAAADp/1/w=")</f>
        <v>#REF!</v>
      </c>
      <c r="IT103" t="e">
        <f>AND(#REF!,"AAAAADp/1/0=")</f>
        <v>#REF!</v>
      </c>
      <c r="IU103" t="e">
        <f>AND(#REF!,"AAAAADp/1/4=")</f>
        <v>#REF!</v>
      </c>
      <c r="IV103" t="e">
        <f>AND(#REF!,"AAAAADp/1/8=")</f>
        <v>#REF!</v>
      </c>
    </row>
    <row r="104" spans="1:256" x14ac:dyDescent="0.2">
      <c r="A104" t="e">
        <f>AND(#REF!,"AAAAAEQz+gA=")</f>
        <v>#REF!</v>
      </c>
      <c r="B104" t="e">
        <f>AND(#REF!,"AAAAAEQz+gE=")</f>
        <v>#REF!</v>
      </c>
      <c r="C104" t="e">
        <f>AND(#REF!,"AAAAAEQz+gI=")</f>
        <v>#REF!</v>
      </c>
      <c r="D104" t="e">
        <f>AND(#REF!,"AAAAAEQz+gM=")</f>
        <v>#REF!</v>
      </c>
      <c r="E104" t="e">
        <f>AND(#REF!,"AAAAAEQz+gQ=")</f>
        <v>#REF!</v>
      </c>
      <c r="F104" t="e">
        <f>AND(#REF!,"AAAAAEQz+gU=")</f>
        <v>#REF!</v>
      </c>
      <c r="G104" t="e">
        <f>AND(#REF!,"AAAAAEQz+gY=")</f>
        <v>#REF!</v>
      </c>
      <c r="H104" t="e">
        <f>AND(#REF!,"AAAAAEQz+gc=")</f>
        <v>#REF!</v>
      </c>
      <c r="I104" t="e">
        <f>AND(#REF!,"AAAAAEQz+gg=")</f>
        <v>#REF!</v>
      </c>
      <c r="J104" t="e">
        <f>AND(#REF!,"AAAAAEQz+gk=")</f>
        <v>#REF!</v>
      </c>
      <c r="K104" t="e">
        <f>AND(#REF!,"AAAAAEQz+go=")</f>
        <v>#REF!</v>
      </c>
      <c r="L104" t="e">
        <f>AND(#REF!,"AAAAAEQz+gs=")</f>
        <v>#REF!</v>
      </c>
      <c r="M104" t="e">
        <f>AND(#REF!,"AAAAAEQz+gw=")</f>
        <v>#REF!</v>
      </c>
      <c r="N104" t="e">
        <f>AND(#REF!,"AAAAAEQz+g0=")</f>
        <v>#REF!</v>
      </c>
      <c r="O104" t="e">
        <f>AND(#REF!,"AAAAAEQz+g4=")</f>
        <v>#REF!</v>
      </c>
      <c r="P104" t="e">
        <f>AND(#REF!,"AAAAAEQz+g8=")</f>
        <v>#REF!</v>
      </c>
      <c r="Q104" t="e">
        <f>AND(#REF!,"AAAAAEQz+hA=")</f>
        <v>#REF!</v>
      </c>
      <c r="R104" t="e">
        <f>AND(#REF!,"AAAAAEQz+hE=")</f>
        <v>#REF!</v>
      </c>
      <c r="S104" t="e">
        <f>AND(#REF!,"AAAAAEQz+hI=")</f>
        <v>#REF!</v>
      </c>
      <c r="T104" t="e">
        <f>AND(#REF!,"AAAAAEQz+hM=")</f>
        <v>#REF!</v>
      </c>
      <c r="U104" t="e">
        <f>AND(#REF!,"AAAAAEQz+hQ=")</f>
        <v>#REF!</v>
      </c>
      <c r="V104" t="e">
        <f>AND(#REF!,"AAAAAEQz+hU=")</f>
        <v>#REF!</v>
      </c>
      <c r="W104" t="e">
        <f>IF(#REF!,"AAAAAEQz+hY=",0)</f>
        <v>#REF!</v>
      </c>
      <c r="X104" t="e">
        <f>AND(#REF!,"AAAAAEQz+hc=")</f>
        <v>#REF!</v>
      </c>
      <c r="Y104" t="e">
        <f>AND(#REF!,"AAAAAEQz+hg=")</f>
        <v>#REF!</v>
      </c>
      <c r="Z104" t="e">
        <f>AND(#REF!,"AAAAAEQz+hk=")</f>
        <v>#REF!</v>
      </c>
      <c r="AA104" t="e">
        <f>AND(#REF!,"AAAAAEQz+ho=")</f>
        <v>#REF!</v>
      </c>
      <c r="AB104" t="e">
        <f>AND(#REF!,"AAAAAEQz+hs=")</f>
        <v>#REF!</v>
      </c>
      <c r="AC104" t="e">
        <f>AND(#REF!,"AAAAAEQz+hw=")</f>
        <v>#REF!</v>
      </c>
      <c r="AD104" t="e">
        <f>AND(#REF!,"AAAAAEQz+h0=")</f>
        <v>#REF!</v>
      </c>
      <c r="AE104" t="e">
        <f>AND(#REF!,"AAAAAEQz+h4=")</f>
        <v>#REF!</v>
      </c>
      <c r="AF104" t="e">
        <f>AND(#REF!,"AAAAAEQz+h8=")</f>
        <v>#REF!</v>
      </c>
      <c r="AG104" t="e">
        <f>AND(#REF!,"AAAAAEQz+iA=")</f>
        <v>#REF!</v>
      </c>
      <c r="AH104" t="e">
        <f>AND(#REF!,"AAAAAEQz+iE=")</f>
        <v>#REF!</v>
      </c>
      <c r="AI104" t="e">
        <f>AND(#REF!,"AAAAAEQz+iI=")</f>
        <v>#REF!</v>
      </c>
      <c r="AJ104" t="e">
        <f>AND(#REF!,"AAAAAEQz+iM=")</f>
        <v>#REF!</v>
      </c>
      <c r="AK104" t="e">
        <f>AND(#REF!,"AAAAAEQz+iQ=")</f>
        <v>#REF!</v>
      </c>
      <c r="AL104" t="e">
        <f>AND(#REF!,"AAAAAEQz+iU=")</f>
        <v>#REF!</v>
      </c>
      <c r="AM104" t="e">
        <f>AND(#REF!,"AAAAAEQz+iY=")</f>
        <v>#REF!</v>
      </c>
      <c r="AN104" t="e">
        <f>AND(#REF!,"AAAAAEQz+ic=")</f>
        <v>#REF!</v>
      </c>
      <c r="AO104" t="e">
        <f>AND(#REF!,"AAAAAEQz+ig=")</f>
        <v>#REF!</v>
      </c>
      <c r="AP104" t="e">
        <f>AND(#REF!,"AAAAAEQz+ik=")</f>
        <v>#REF!</v>
      </c>
      <c r="AQ104" t="e">
        <f>AND(#REF!,"AAAAAEQz+io=")</f>
        <v>#REF!</v>
      </c>
      <c r="AR104" t="e">
        <f>AND(#REF!,"AAAAAEQz+is=")</f>
        <v>#REF!</v>
      </c>
      <c r="AS104" t="e">
        <f>AND(#REF!,"AAAAAEQz+iw=")</f>
        <v>#REF!</v>
      </c>
      <c r="AT104" t="e">
        <f>AND(#REF!,"AAAAAEQz+i0=")</f>
        <v>#REF!</v>
      </c>
      <c r="AU104" t="e">
        <f>AND(#REF!,"AAAAAEQz+i4=")</f>
        <v>#REF!</v>
      </c>
      <c r="AV104" t="e">
        <f>AND(#REF!,"AAAAAEQz+i8=")</f>
        <v>#REF!</v>
      </c>
      <c r="AW104" t="e">
        <f>AND(#REF!,"AAAAAEQz+jA=")</f>
        <v>#REF!</v>
      </c>
      <c r="AX104" t="e">
        <f>IF(#REF!,"AAAAAEQz+jE=",0)</f>
        <v>#REF!</v>
      </c>
      <c r="AY104" t="e">
        <f>AND(#REF!,"AAAAAEQz+jI=")</f>
        <v>#REF!</v>
      </c>
      <c r="AZ104" t="e">
        <f>AND(#REF!,"AAAAAEQz+jM=")</f>
        <v>#REF!</v>
      </c>
      <c r="BA104" t="e">
        <f>AND(#REF!,"AAAAAEQz+jQ=")</f>
        <v>#REF!</v>
      </c>
      <c r="BB104" t="e">
        <f>AND(#REF!,"AAAAAEQz+jU=")</f>
        <v>#REF!</v>
      </c>
      <c r="BC104" t="e">
        <f>AND(#REF!,"AAAAAEQz+jY=")</f>
        <v>#REF!</v>
      </c>
      <c r="BD104" t="e">
        <f>AND(#REF!,"AAAAAEQz+jc=")</f>
        <v>#REF!</v>
      </c>
      <c r="BE104" t="e">
        <f>AND(#REF!,"AAAAAEQz+jg=")</f>
        <v>#REF!</v>
      </c>
      <c r="BF104" t="e">
        <f>AND(#REF!,"AAAAAEQz+jk=")</f>
        <v>#REF!</v>
      </c>
      <c r="BG104" t="e">
        <f>AND(#REF!,"AAAAAEQz+jo=")</f>
        <v>#REF!</v>
      </c>
      <c r="BH104" t="e">
        <f>AND(#REF!,"AAAAAEQz+js=")</f>
        <v>#REF!</v>
      </c>
      <c r="BI104" t="e">
        <f>AND(#REF!,"AAAAAEQz+jw=")</f>
        <v>#REF!</v>
      </c>
      <c r="BJ104" t="e">
        <f>AND(#REF!,"AAAAAEQz+j0=")</f>
        <v>#REF!</v>
      </c>
      <c r="BK104" t="e">
        <f>AND(#REF!,"AAAAAEQz+j4=")</f>
        <v>#REF!</v>
      </c>
      <c r="BL104" t="e">
        <f>AND(#REF!,"AAAAAEQz+j8=")</f>
        <v>#REF!</v>
      </c>
      <c r="BM104" t="e">
        <f>AND(#REF!,"AAAAAEQz+kA=")</f>
        <v>#REF!</v>
      </c>
      <c r="BN104" t="e">
        <f>AND(#REF!,"AAAAAEQz+kE=")</f>
        <v>#REF!</v>
      </c>
      <c r="BO104" t="e">
        <f>AND(#REF!,"AAAAAEQz+kI=")</f>
        <v>#REF!</v>
      </c>
      <c r="BP104" t="e">
        <f>AND(#REF!,"AAAAAEQz+kM=")</f>
        <v>#REF!</v>
      </c>
      <c r="BQ104" t="e">
        <f>AND(#REF!,"AAAAAEQz+kQ=")</f>
        <v>#REF!</v>
      </c>
      <c r="BR104" t="e">
        <f>AND(#REF!,"AAAAAEQz+kU=")</f>
        <v>#REF!</v>
      </c>
      <c r="BS104" t="e">
        <f>AND(#REF!,"AAAAAEQz+kY=")</f>
        <v>#REF!</v>
      </c>
      <c r="BT104" t="e">
        <f>AND(#REF!,"AAAAAEQz+kc=")</f>
        <v>#REF!</v>
      </c>
      <c r="BU104" t="e">
        <f>AND(#REF!,"AAAAAEQz+kg=")</f>
        <v>#REF!</v>
      </c>
      <c r="BV104" t="e">
        <f>AND(#REF!,"AAAAAEQz+kk=")</f>
        <v>#REF!</v>
      </c>
      <c r="BW104" t="e">
        <f>AND(#REF!,"AAAAAEQz+ko=")</f>
        <v>#REF!</v>
      </c>
      <c r="BX104" t="e">
        <f>AND(#REF!,"AAAAAEQz+ks=")</f>
        <v>#REF!</v>
      </c>
      <c r="BY104" t="e">
        <f>IF(#REF!,"AAAAAEQz+kw=",0)</f>
        <v>#REF!</v>
      </c>
      <c r="BZ104" t="e">
        <f>AND(#REF!,"AAAAAEQz+k0=")</f>
        <v>#REF!</v>
      </c>
      <c r="CA104" t="e">
        <f>AND(#REF!,"AAAAAEQz+k4=")</f>
        <v>#REF!</v>
      </c>
      <c r="CB104" t="e">
        <f>AND(#REF!,"AAAAAEQz+k8=")</f>
        <v>#REF!</v>
      </c>
      <c r="CC104" t="e">
        <f>AND(#REF!,"AAAAAEQz+lA=")</f>
        <v>#REF!</v>
      </c>
      <c r="CD104" t="e">
        <f>AND(#REF!,"AAAAAEQz+lE=")</f>
        <v>#REF!</v>
      </c>
      <c r="CE104" t="e">
        <f>AND(#REF!,"AAAAAEQz+lI=")</f>
        <v>#REF!</v>
      </c>
      <c r="CF104" t="e">
        <f>AND(#REF!,"AAAAAEQz+lM=")</f>
        <v>#REF!</v>
      </c>
      <c r="CG104" t="e">
        <f>AND(#REF!,"AAAAAEQz+lQ=")</f>
        <v>#REF!</v>
      </c>
      <c r="CH104" t="e">
        <f>AND(#REF!,"AAAAAEQz+lU=")</f>
        <v>#REF!</v>
      </c>
      <c r="CI104" t="e">
        <f>AND(#REF!,"AAAAAEQz+lY=")</f>
        <v>#REF!</v>
      </c>
      <c r="CJ104" t="e">
        <f>AND(#REF!,"AAAAAEQz+lc=")</f>
        <v>#REF!</v>
      </c>
      <c r="CK104" t="e">
        <f>AND(#REF!,"AAAAAEQz+lg=")</f>
        <v>#REF!</v>
      </c>
      <c r="CL104" t="e">
        <f>AND(#REF!,"AAAAAEQz+lk=")</f>
        <v>#REF!</v>
      </c>
      <c r="CM104" t="e">
        <f>AND(#REF!,"AAAAAEQz+lo=")</f>
        <v>#REF!</v>
      </c>
      <c r="CN104" t="e">
        <f>AND(#REF!,"AAAAAEQz+ls=")</f>
        <v>#REF!</v>
      </c>
      <c r="CO104" t="e">
        <f>AND(#REF!,"AAAAAEQz+lw=")</f>
        <v>#REF!</v>
      </c>
      <c r="CP104" t="e">
        <f>AND(#REF!,"AAAAAEQz+l0=")</f>
        <v>#REF!</v>
      </c>
      <c r="CQ104" t="e">
        <f>AND(#REF!,"AAAAAEQz+l4=")</f>
        <v>#REF!</v>
      </c>
      <c r="CR104" t="e">
        <f>AND(#REF!,"AAAAAEQz+l8=")</f>
        <v>#REF!</v>
      </c>
      <c r="CS104" t="e">
        <f>AND(#REF!,"AAAAAEQz+mA=")</f>
        <v>#REF!</v>
      </c>
      <c r="CT104" t="e">
        <f>AND(#REF!,"AAAAAEQz+mE=")</f>
        <v>#REF!</v>
      </c>
      <c r="CU104" t="e">
        <f>AND(#REF!,"AAAAAEQz+mI=")</f>
        <v>#REF!</v>
      </c>
      <c r="CV104" t="e">
        <f>AND(#REF!,"AAAAAEQz+mM=")</f>
        <v>#REF!</v>
      </c>
      <c r="CW104" t="e">
        <f>AND(#REF!,"AAAAAEQz+mQ=")</f>
        <v>#REF!</v>
      </c>
      <c r="CX104" t="e">
        <f>AND(#REF!,"AAAAAEQz+mU=")</f>
        <v>#REF!</v>
      </c>
      <c r="CY104" t="e">
        <f>AND(#REF!,"AAAAAEQz+mY=")</f>
        <v>#REF!</v>
      </c>
      <c r="CZ104" t="e">
        <f>IF(#REF!,"AAAAAEQz+mc=",0)</f>
        <v>#REF!</v>
      </c>
      <c r="DA104" t="e">
        <f>AND(#REF!,"AAAAAEQz+mg=")</f>
        <v>#REF!</v>
      </c>
      <c r="DB104" t="e">
        <f>AND(#REF!,"AAAAAEQz+mk=")</f>
        <v>#REF!</v>
      </c>
      <c r="DC104" t="e">
        <f>AND(#REF!,"AAAAAEQz+mo=")</f>
        <v>#REF!</v>
      </c>
      <c r="DD104" t="e">
        <f>AND(#REF!,"AAAAAEQz+ms=")</f>
        <v>#REF!</v>
      </c>
      <c r="DE104" t="e">
        <f>AND(#REF!,"AAAAAEQz+mw=")</f>
        <v>#REF!</v>
      </c>
      <c r="DF104" t="e">
        <f>AND(#REF!,"AAAAAEQz+m0=")</f>
        <v>#REF!</v>
      </c>
      <c r="DG104" t="e">
        <f>AND(#REF!,"AAAAAEQz+m4=")</f>
        <v>#REF!</v>
      </c>
      <c r="DH104" t="e">
        <f>AND(#REF!,"AAAAAEQz+m8=")</f>
        <v>#REF!</v>
      </c>
      <c r="DI104" t="e">
        <f>AND(#REF!,"AAAAAEQz+nA=")</f>
        <v>#REF!</v>
      </c>
      <c r="DJ104" t="e">
        <f>AND(#REF!,"AAAAAEQz+nE=")</f>
        <v>#REF!</v>
      </c>
      <c r="DK104" t="e">
        <f>AND(#REF!,"AAAAAEQz+nI=")</f>
        <v>#REF!</v>
      </c>
      <c r="DL104" t="e">
        <f>AND(#REF!,"AAAAAEQz+nM=")</f>
        <v>#REF!</v>
      </c>
      <c r="DM104" t="e">
        <f>AND(#REF!,"AAAAAEQz+nQ=")</f>
        <v>#REF!</v>
      </c>
      <c r="DN104" t="e">
        <f>AND(#REF!,"AAAAAEQz+nU=")</f>
        <v>#REF!</v>
      </c>
      <c r="DO104" t="e">
        <f>AND(#REF!,"AAAAAEQz+nY=")</f>
        <v>#REF!</v>
      </c>
      <c r="DP104" t="e">
        <f>AND(#REF!,"AAAAAEQz+nc=")</f>
        <v>#REF!</v>
      </c>
      <c r="DQ104" t="e">
        <f>AND(#REF!,"AAAAAEQz+ng=")</f>
        <v>#REF!</v>
      </c>
      <c r="DR104" t="e">
        <f>AND(#REF!,"AAAAAEQz+nk=")</f>
        <v>#REF!</v>
      </c>
      <c r="DS104" t="e">
        <f>AND(#REF!,"AAAAAEQz+no=")</f>
        <v>#REF!</v>
      </c>
      <c r="DT104" t="e">
        <f>AND(#REF!,"AAAAAEQz+ns=")</f>
        <v>#REF!</v>
      </c>
      <c r="DU104" t="e">
        <f>AND(#REF!,"AAAAAEQz+nw=")</f>
        <v>#REF!</v>
      </c>
      <c r="DV104" t="e">
        <f>AND(#REF!,"AAAAAEQz+n0=")</f>
        <v>#REF!</v>
      </c>
      <c r="DW104" t="e">
        <f>AND(#REF!,"AAAAAEQz+n4=")</f>
        <v>#REF!</v>
      </c>
      <c r="DX104" t="e">
        <f>AND(#REF!,"AAAAAEQz+n8=")</f>
        <v>#REF!</v>
      </c>
      <c r="DY104" t="e">
        <f>AND(#REF!,"AAAAAEQz+oA=")</f>
        <v>#REF!</v>
      </c>
      <c r="DZ104" t="e">
        <f>AND(#REF!,"AAAAAEQz+oE=")</f>
        <v>#REF!</v>
      </c>
      <c r="EA104" t="e">
        <f>IF(#REF!,"AAAAAEQz+oI=",0)</f>
        <v>#REF!</v>
      </c>
      <c r="EB104" t="e">
        <f>AND(#REF!,"AAAAAEQz+oM=")</f>
        <v>#REF!</v>
      </c>
      <c r="EC104" t="e">
        <f>AND(#REF!,"AAAAAEQz+oQ=")</f>
        <v>#REF!</v>
      </c>
      <c r="ED104" t="e">
        <f>AND(#REF!,"AAAAAEQz+oU=")</f>
        <v>#REF!</v>
      </c>
      <c r="EE104" t="e">
        <f>AND(#REF!,"AAAAAEQz+oY=")</f>
        <v>#REF!</v>
      </c>
      <c r="EF104" t="e">
        <f>AND(#REF!,"AAAAAEQz+oc=")</f>
        <v>#REF!</v>
      </c>
      <c r="EG104" t="e">
        <f>AND(#REF!,"AAAAAEQz+og=")</f>
        <v>#REF!</v>
      </c>
      <c r="EH104" t="e">
        <f>AND(#REF!,"AAAAAEQz+ok=")</f>
        <v>#REF!</v>
      </c>
      <c r="EI104" t="e">
        <f>AND(#REF!,"AAAAAEQz+oo=")</f>
        <v>#REF!</v>
      </c>
      <c r="EJ104" t="e">
        <f>AND(#REF!,"AAAAAEQz+os=")</f>
        <v>#REF!</v>
      </c>
      <c r="EK104" t="e">
        <f>AND(#REF!,"AAAAAEQz+ow=")</f>
        <v>#REF!</v>
      </c>
      <c r="EL104" t="e">
        <f>AND(#REF!,"AAAAAEQz+o0=")</f>
        <v>#REF!</v>
      </c>
      <c r="EM104" t="e">
        <f>AND(#REF!,"AAAAAEQz+o4=")</f>
        <v>#REF!</v>
      </c>
      <c r="EN104" t="e">
        <f>AND(#REF!,"AAAAAEQz+o8=")</f>
        <v>#REF!</v>
      </c>
      <c r="EO104" t="e">
        <f>AND(#REF!,"AAAAAEQz+pA=")</f>
        <v>#REF!</v>
      </c>
      <c r="EP104" t="e">
        <f>AND(#REF!,"AAAAAEQz+pE=")</f>
        <v>#REF!</v>
      </c>
      <c r="EQ104" t="e">
        <f>AND(#REF!,"AAAAAEQz+pI=")</f>
        <v>#REF!</v>
      </c>
      <c r="ER104" t="e">
        <f>AND(#REF!,"AAAAAEQz+pM=")</f>
        <v>#REF!</v>
      </c>
      <c r="ES104" t="e">
        <f>AND(#REF!,"AAAAAEQz+pQ=")</f>
        <v>#REF!</v>
      </c>
      <c r="ET104" t="e">
        <f>AND(#REF!,"AAAAAEQz+pU=")</f>
        <v>#REF!</v>
      </c>
      <c r="EU104" t="e">
        <f>AND(#REF!,"AAAAAEQz+pY=")</f>
        <v>#REF!</v>
      </c>
      <c r="EV104" t="e">
        <f>AND(#REF!,"AAAAAEQz+pc=")</f>
        <v>#REF!</v>
      </c>
      <c r="EW104" t="e">
        <f>AND(#REF!,"AAAAAEQz+pg=")</f>
        <v>#REF!</v>
      </c>
      <c r="EX104" t="e">
        <f>AND(#REF!,"AAAAAEQz+pk=")</f>
        <v>#REF!</v>
      </c>
      <c r="EY104" t="e">
        <f>AND(#REF!,"AAAAAEQz+po=")</f>
        <v>#REF!</v>
      </c>
      <c r="EZ104" t="e">
        <f>AND(#REF!,"AAAAAEQz+ps=")</f>
        <v>#REF!</v>
      </c>
      <c r="FA104" t="e">
        <f>AND(#REF!,"AAAAAEQz+pw=")</f>
        <v>#REF!</v>
      </c>
      <c r="FB104" t="e">
        <f>IF(#REF!,"AAAAAEQz+p0=",0)</f>
        <v>#REF!</v>
      </c>
      <c r="FC104" t="e">
        <f>AND(#REF!,"AAAAAEQz+p4=")</f>
        <v>#REF!</v>
      </c>
      <c r="FD104" t="e">
        <f>AND(#REF!,"AAAAAEQz+p8=")</f>
        <v>#REF!</v>
      </c>
      <c r="FE104" t="e">
        <f>AND(#REF!,"AAAAAEQz+qA=")</f>
        <v>#REF!</v>
      </c>
      <c r="FF104" t="e">
        <f>AND(#REF!,"AAAAAEQz+qE=")</f>
        <v>#REF!</v>
      </c>
      <c r="FG104" t="e">
        <f>AND(#REF!,"AAAAAEQz+qI=")</f>
        <v>#REF!</v>
      </c>
      <c r="FH104" t="e">
        <f>AND(#REF!,"AAAAAEQz+qM=")</f>
        <v>#REF!</v>
      </c>
      <c r="FI104" t="e">
        <f>AND(#REF!,"AAAAAEQz+qQ=")</f>
        <v>#REF!</v>
      </c>
      <c r="FJ104" t="e">
        <f>AND(#REF!,"AAAAAEQz+qU=")</f>
        <v>#REF!</v>
      </c>
      <c r="FK104" t="e">
        <f>AND(#REF!,"AAAAAEQz+qY=")</f>
        <v>#REF!</v>
      </c>
      <c r="FL104" t="e">
        <f>AND(#REF!,"AAAAAEQz+qc=")</f>
        <v>#REF!</v>
      </c>
      <c r="FM104" t="e">
        <f>AND(#REF!,"AAAAAEQz+qg=")</f>
        <v>#REF!</v>
      </c>
      <c r="FN104" t="e">
        <f>AND(#REF!,"AAAAAEQz+qk=")</f>
        <v>#REF!</v>
      </c>
      <c r="FO104" t="e">
        <f>AND(#REF!,"AAAAAEQz+qo=")</f>
        <v>#REF!</v>
      </c>
      <c r="FP104" t="e">
        <f>AND(#REF!,"AAAAAEQz+qs=")</f>
        <v>#REF!</v>
      </c>
      <c r="FQ104" t="e">
        <f>AND(#REF!,"AAAAAEQz+qw=")</f>
        <v>#REF!</v>
      </c>
      <c r="FR104" t="e">
        <f>AND(#REF!,"AAAAAEQz+q0=")</f>
        <v>#REF!</v>
      </c>
      <c r="FS104" t="e">
        <f>AND(#REF!,"AAAAAEQz+q4=")</f>
        <v>#REF!</v>
      </c>
      <c r="FT104" t="e">
        <f>AND(#REF!,"AAAAAEQz+q8=")</f>
        <v>#REF!</v>
      </c>
      <c r="FU104" t="e">
        <f>AND(#REF!,"AAAAAEQz+rA=")</f>
        <v>#REF!</v>
      </c>
      <c r="FV104" t="e">
        <f>AND(#REF!,"AAAAAEQz+rE=")</f>
        <v>#REF!</v>
      </c>
      <c r="FW104" t="e">
        <f>AND(#REF!,"AAAAAEQz+rI=")</f>
        <v>#REF!</v>
      </c>
      <c r="FX104" t="e">
        <f>AND(#REF!,"AAAAAEQz+rM=")</f>
        <v>#REF!</v>
      </c>
      <c r="FY104" t="e">
        <f>AND(#REF!,"AAAAAEQz+rQ=")</f>
        <v>#REF!</v>
      </c>
      <c r="FZ104" t="e">
        <f>AND(#REF!,"AAAAAEQz+rU=")</f>
        <v>#REF!</v>
      </c>
      <c r="GA104" t="e">
        <f>AND(#REF!,"AAAAAEQz+rY=")</f>
        <v>#REF!</v>
      </c>
      <c r="GB104" t="e">
        <f>AND(#REF!,"AAAAAEQz+rc=")</f>
        <v>#REF!</v>
      </c>
      <c r="GC104" t="e">
        <f>IF(#REF!,"AAAAAEQz+rg=",0)</f>
        <v>#REF!</v>
      </c>
      <c r="GD104" t="e">
        <f>AND(#REF!,"AAAAAEQz+rk=")</f>
        <v>#REF!</v>
      </c>
      <c r="GE104" t="e">
        <f>AND(#REF!,"AAAAAEQz+ro=")</f>
        <v>#REF!</v>
      </c>
      <c r="GF104" t="e">
        <f>AND(#REF!,"AAAAAEQz+rs=")</f>
        <v>#REF!</v>
      </c>
      <c r="GG104" t="e">
        <f>AND(#REF!,"AAAAAEQz+rw=")</f>
        <v>#REF!</v>
      </c>
      <c r="GH104" t="e">
        <f>AND(#REF!,"AAAAAEQz+r0=")</f>
        <v>#REF!</v>
      </c>
      <c r="GI104" t="e">
        <f>AND(#REF!,"AAAAAEQz+r4=")</f>
        <v>#REF!</v>
      </c>
      <c r="GJ104" t="e">
        <f>AND(#REF!,"AAAAAEQz+r8=")</f>
        <v>#REF!</v>
      </c>
      <c r="GK104" t="e">
        <f>AND(#REF!,"AAAAAEQz+sA=")</f>
        <v>#REF!</v>
      </c>
      <c r="GL104" t="e">
        <f>AND(#REF!,"AAAAAEQz+sE=")</f>
        <v>#REF!</v>
      </c>
      <c r="GM104" t="e">
        <f>AND(#REF!,"AAAAAEQz+sI=")</f>
        <v>#REF!</v>
      </c>
      <c r="GN104" t="e">
        <f>AND(#REF!,"AAAAAEQz+sM=")</f>
        <v>#REF!</v>
      </c>
      <c r="GO104" t="e">
        <f>AND(#REF!,"AAAAAEQz+sQ=")</f>
        <v>#REF!</v>
      </c>
      <c r="GP104" t="e">
        <f>AND(#REF!,"AAAAAEQz+sU=")</f>
        <v>#REF!</v>
      </c>
      <c r="GQ104" t="e">
        <f>AND(#REF!,"AAAAAEQz+sY=")</f>
        <v>#REF!</v>
      </c>
      <c r="GR104" t="e">
        <f>AND(#REF!,"AAAAAEQz+sc=")</f>
        <v>#REF!</v>
      </c>
      <c r="GS104" t="e">
        <f>AND(#REF!,"AAAAAEQz+sg=")</f>
        <v>#REF!</v>
      </c>
      <c r="GT104" t="e">
        <f>AND(#REF!,"AAAAAEQz+sk=")</f>
        <v>#REF!</v>
      </c>
      <c r="GU104" t="e">
        <f>AND(#REF!,"AAAAAEQz+so=")</f>
        <v>#REF!</v>
      </c>
      <c r="GV104" t="e">
        <f>AND(#REF!,"AAAAAEQz+ss=")</f>
        <v>#REF!</v>
      </c>
      <c r="GW104" t="e">
        <f>AND(#REF!,"AAAAAEQz+sw=")</f>
        <v>#REF!</v>
      </c>
      <c r="GX104" t="e">
        <f>AND(#REF!,"AAAAAEQz+s0=")</f>
        <v>#REF!</v>
      </c>
      <c r="GY104" t="e">
        <f>AND(#REF!,"AAAAAEQz+s4=")</f>
        <v>#REF!</v>
      </c>
      <c r="GZ104" t="e">
        <f>AND(#REF!,"AAAAAEQz+s8=")</f>
        <v>#REF!</v>
      </c>
      <c r="HA104" t="e">
        <f>AND(#REF!,"AAAAAEQz+tA=")</f>
        <v>#REF!</v>
      </c>
      <c r="HB104" t="e">
        <f>AND(#REF!,"AAAAAEQz+tE=")</f>
        <v>#REF!</v>
      </c>
      <c r="HC104" t="e">
        <f>AND(#REF!,"AAAAAEQz+tI=")</f>
        <v>#REF!</v>
      </c>
      <c r="HD104" t="e">
        <f>IF(#REF!,"AAAAAEQz+tM=",0)</f>
        <v>#REF!</v>
      </c>
      <c r="HE104" t="e">
        <f>IF(#REF!,"AAAAAEQz+tQ=",0)</f>
        <v>#REF!</v>
      </c>
      <c r="HF104" t="e">
        <f>IF(#REF!,"AAAAAEQz+tU=",0)</f>
        <v>#REF!</v>
      </c>
      <c r="HG104" t="e">
        <f>IF(#REF!,"AAAAAEQz+tY=",0)</f>
        <v>#REF!</v>
      </c>
      <c r="HH104" t="e">
        <f>IF(#REF!,"AAAAAEQz+tc=",0)</f>
        <v>#REF!</v>
      </c>
      <c r="HI104" t="e">
        <f>IF(#REF!,"AAAAAEQz+tg=",0)</f>
        <v>#REF!</v>
      </c>
      <c r="HJ104" t="e">
        <f>IF(#REF!,"AAAAAEQz+tk=",0)</f>
        <v>#REF!</v>
      </c>
      <c r="HK104" t="e">
        <f>IF(#REF!,"AAAAAEQz+to=",0)</f>
        <v>#REF!</v>
      </c>
      <c r="HL104" t="e">
        <f>IF(#REF!,"AAAAAEQz+ts=",0)</f>
        <v>#REF!</v>
      </c>
      <c r="HM104" t="e">
        <f>IF(#REF!,"AAAAAEQz+tw=",0)</f>
        <v>#REF!</v>
      </c>
      <c r="HN104" t="e">
        <f>IF(#REF!,"AAAAAEQz+t0=",0)</f>
        <v>#REF!</v>
      </c>
      <c r="HO104" t="e">
        <f>IF(#REF!,"AAAAAEQz+t4=",0)</f>
        <v>#REF!</v>
      </c>
      <c r="HP104" t="e">
        <f>IF(#REF!,"AAAAAEQz+t8=",0)</f>
        <v>#REF!</v>
      </c>
      <c r="HQ104" t="e">
        <f>IF(#REF!,"AAAAAEQz+uA=",0)</f>
        <v>#REF!</v>
      </c>
      <c r="HR104" t="e">
        <f>IF(#REF!,"AAAAAEQz+uE=",0)</f>
        <v>#REF!</v>
      </c>
      <c r="HS104" t="e">
        <f>IF(#REF!,"AAAAAEQz+uI=",0)</f>
        <v>#REF!</v>
      </c>
      <c r="HT104" t="e">
        <f>IF(#REF!,"AAAAAEQz+uM=",0)</f>
        <v>#REF!</v>
      </c>
      <c r="HU104" t="e">
        <f>IF(#REF!,"AAAAAEQz+uQ=",0)</f>
        <v>#REF!</v>
      </c>
      <c r="HV104" t="e">
        <f>IF(#REF!,"AAAAAEQz+uU=",0)</f>
        <v>#REF!</v>
      </c>
      <c r="HW104" t="e">
        <f>IF(#REF!,"AAAAAEQz+uY=",0)</f>
        <v>#REF!</v>
      </c>
      <c r="HX104" t="e">
        <f>IF(#REF!,"AAAAAEQz+uc=",0)</f>
        <v>#REF!</v>
      </c>
      <c r="HY104" t="e">
        <f>IF(#REF!,"AAAAAEQz+ug=",0)</f>
        <v>#REF!</v>
      </c>
      <c r="HZ104" t="e">
        <f>IF(#REF!,"AAAAAEQz+uk=",0)</f>
        <v>#REF!</v>
      </c>
      <c r="IA104" t="e">
        <f>IF(#REF!,"AAAAAEQz+uo=",0)</f>
        <v>#REF!</v>
      </c>
      <c r="IB104" t="e">
        <f>IF(#REF!,"AAAAAEQz+us=",0)</f>
        <v>#REF!</v>
      </c>
      <c r="IC104" t="e">
        <f>IF(#REF!,"AAAAAEQz+uw=",0)</f>
        <v>#REF!</v>
      </c>
      <c r="ID104" t="e">
        <f>IF(#REF!,"AAAAAEQz+u0=",0)</f>
        <v>#REF!</v>
      </c>
      <c r="IE104" t="e">
        <f>AND(#REF!,"AAAAAEQz+u4=")</f>
        <v>#REF!</v>
      </c>
      <c r="IF104" t="e">
        <f>AND(#REF!,"AAAAAEQz+u8=")</f>
        <v>#REF!</v>
      </c>
      <c r="IG104" t="e">
        <f>AND(#REF!,"AAAAAEQz+vA=")</f>
        <v>#REF!</v>
      </c>
      <c r="IH104" t="e">
        <f>AND(#REF!,"AAAAAEQz+vE=")</f>
        <v>#REF!</v>
      </c>
      <c r="II104" t="e">
        <f>AND(#REF!,"AAAAAEQz+vI=")</f>
        <v>#REF!</v>
      </c>
      <c r="IJ104" t="e">
        <f>AND(#REF!,"AAAAAEQz+vM=")</f>
        <v>#REF!</v>
      </c>
      <c r="IK104" t="e">
        <f>AND(#REF!,"AAAAAEQz+vQ=")</f>
        <v>#REF!</v>
      </c>
      <c r="IL104" t="e">
        <f>AND(#REF!,"AAAAAEQz+vU=")</f>
        <v>#REF!</v>
      </c>
      <c r="IM104" t="e">
        <f>AND(#REF!,"AAAAAEQz+vY=")</f>
        <v>#REF!</v>
      </c>
      <c r="IN104" t="e">
        <f>AND(#REF!,"AAAAAEQz+vc=")</f>
        <v>#REF!</v>
      </c>
      <c r="IO104" t="e">
        <f>AND(#REF!,"AAAAAEQz+vg=")</f>
        <v>#REF!</v>
      </c>
      <c r="IP104" t="e">
        <f>AND(#REF!,"AAAAAEQz+vk=")</f>
        <v>#REF!</v>
      </c>
      <c r="IQ104" t="e">
        <f>AND(#REF!,"AAAAAEQz+vo=")</f>
        <v>#REF!</v>
      </c>
      <c r="IR104" t="e">
        <f>AND(#REF!,"AAAAAEQz+vs=")</f>
        <v>#REF!</v>
      </c>
      <c r="IS104" t="e">
        <f>AND(#REF!,"AAAAAEQz+vw=")</f>
        <v>#REF!</v>
      </c>
      <c r="IT104" t="e">
        <f>AND(#REF!,"AAAAAEQz+v0=")</f>
        <v>#REF!</v>
      </c>
      <c r="IU104" t="e">
        <f>AND(#REF!,"AAAAAEQz+v4=")</f>
        <v>#REF!</v>
      </c>
      <c r="IV104" t="e">
        <f>AND(#REF!,"AAAAAEQz+v8=")</f>
        <v>#REF!</v>
      </c>
    </row>
    <row r="105" spans="1:256" x14ac:dyDescent="0.2">
      <c r="A105" t="e">
        <f>AND(#REF!,"AAAAAH//awA=")</f>
        <v>#REF!</v>
      </c>
      <c r="B105" t="e">
        <f>AND(#REF!,"AAAAAH//awE=")</f>
        <v>#REF!</v>
      </c>
      <c r="C105" t="e">
        <f>AND(#REF!,"AAAAAH//awI=")</f>
        <v>#REF!</v>
      </c>
      <c r="D105" t="e">
        <f>AND(#REF!,"AAAAAH//awM=")</f>
        <v>#REF!</v>
      </c>
      <c r="E105" t="e">
        <f>AND(#REF!,"AAAAAH//awQ=")</f>
        <v>#REF!</v>
      </c>
      <c r="F105" t="e">
        <f>AND(#REF!,"AAAAAH//awU=")</f>
        <v>#REF!</v>
      </c>
      <c r="G105" t="e">
        <f>AND(#REF!,"AAAAAH//awY=")</f>
        <v>#REF!</v>
      </c>
      <c r="H105" t="e">
        <f>AND(#REF!,"AAAAAH//awc=")</f>
        <v>#REF!</v>
      </c>
      <c r="I105" t="e">
        <f>IF(#REF!,"AAAAAH//awg=",0)</f>
        <v>#REF!</v>
      </c>
      <c r="J105" t="e">
        <f>AND(#REF!,"AAAAAH//awk=")</f>
        <v>#REF!</v>
      </c>
      <c r="K105" t="e">
        <f>AND(#REF!,"AAAAAH//awo=")</f>
        <v>#REF!</v>
      </c>
      <c r="L105" t="e">
        <f>AND(#REF!,"AAAAAH//aws=")</f>
        <v>#REF!</v>
      </c>
      <c r="M105" t="e">
        <f>AND(#REF!,"AAAAAH//aww=")</f>
        <v>#REF!</v>
      </c>
      <c r="N105" t="e">
        <f>AND(#REF!,"AAAAAH//aw0=")</f>
        <v>#REF!</v>
      </c>
      <c r="O105" t="e">
        <f>AND(#REF!,"AAAAAH//aw4=")</f>
        <v>#REF!</v>
      </c>
      <c r="P105" t="e">
        <f>AND(#REF!,"AAAAAH//aw8=")</f>
        <v>#REF!</v>
      </c>
      <c r="Q105" t="e">
        <f>AND(#REF!,"AAAAAH//axA=")</f>
        <v>#REF!</v>
      </c>
      <c r="R105" t="e">
        <f>AND(#REF!,"AAAAAH//axE=")</f>
        <v>#REF!</v>
      </c>
      <c r="S105" t="e">
        <f>AND(#REF!,"AAAAAH//axI=")</f>
        <v>#REF!</v>
      </c>
      <c r="T105" t="e">
        <f>AND(#REF!,"AAAAAH//axM=")</f>
        <v>#REF!</v>
      </c>
      <c r="U105" t="e">
        <f>AND(#REF!,"AAAAAH//axQ=")</f>
        <v>#REF!</v>
      </c>
      <c r="V105" t="e">
        <f>AND(#REF!,"AAAAAH//axU=")</f>
        <v>#REF!</v>
      </c>
      <c r="W105" t="e">
        <f>AND(#REF!,"AAAAAH//axY=")</f>
        <v>#REF!</v>
      </c>
      <c r="X105" t="e">
        <f>AND(#REF!,"AAAAAH//axc=")</f>
        <v>#REF!</v>
      </c>
      <c r="Y105" t="e">
        <f>AND(#REF!,"AAAAAH//axg=")</f>
        <v>#REF!</v>
      </c>
      <c r="Z105" t="e">
        <f>AND(#REF!,"AAAAAH//axk=")</f>
        <v>#REF!</v>
      </c>
      <c r="AA105" t="e">
        <f>AND(#REF!,"AAAAAH//axo=")</f>
        <v>#REF!</v>
      </c>
      <c r="AB105" t="e">
        <f>AND(#REF!,"AAAAAH//axs=")</f>
        <v>#REF!</v>
      </c>
      <c r="AC105" t="e">
        <f>AND(#REF!,"AAAAAH//axw=")</f>
        <v>#REF!</v>
      </c>
      <c r="AD105" t="e">
        <f>AND(#REF!,"AAAAAH//ax0=")</f>
        <v>#REF!</v>
      </c>
      <c r="AE105" t="e">
        <f>AND(#REF!,"AAAAAH//ax4=")</f>
        <v>#REF!</v>
      </c>
      <c r="AF105" t="e">
        <f>AND(#REF!,"AAAAAH//ax8=")</f>
        <v>#REF!</v>
      </c>
      <c r="AG105" t="e">
        <f>AND(#REF!,"AAAAAH//ayA=")</f>
        <v>#REF!</v>
      </c>
      <c r="AH105" t="e">
        <f>AND(#REF!,"AAAAAH//ayE=")</f>
        <v>#REF!</v>
      </c>
      <c r="AI105" t="e">
        <f>AND(#REF!,"AAAAAH//ayI=")</f>
        <v>#REF!</v>
      </c>
      <c r="AJ105" t="e">
        <f>IF(#REF!,"AAAAAH//ayM=",0)</f>
        <v>#REF!</v>
      </c>
      <c r="AK105" t="e">
        <f>AND(#REF!,"AAAAAH//ayQ=")</f>
        <v>#REF!</v>
      </c>
      <c r="AL105" t="e">
        <f>AND(#REF!,"AAAAAH//ayU=")</f>
        <v>#REF!</v>
      </c>
      <c r="AM105" t="e">
        <f>AND(#REF!,"AAAAAH//ayY=")</f>
        <v>#REF!</v>
      </c>
      <c r="AN105" t="e">
        <f>AND(#REF!,"AAAAAH//ayc=")</f>
        <v>#REF!</v>
      </c>
      <c r="AO105" t="e">
        <f>AND(#REF!,"AAAAAH//ayg=")</f>
        <v>#REF!</v>
      </c>
      <c r="AP105" t="e">
        <f>AND(#REF!,"AAAAAH//ayk=")</f>
        <v>#REF!</v>
      </c>
      <c r="AQ105" t="e">
        <f>AND(#REF!,"AAAAAH//ayo=")</f>
        <v>#REF!</v>
      </c>
      <c r="AR105" t="e">
        <f>AND(#REF!,"AAAAAH//ays=")</f>
        <v>#REF!</v>
      </c>
      <c r="AS105" t="e">
        <f>AND(#REF!,"AAAAAH//ayw=")</f>
        <v>#REF!</v>
      </c>
      <c r="AT105" t="e">
        <f>AND(#REF!,"AAAAAH//ay0=")</f>
        <v>#REF!</v>
      </c>
      <c r="AU105" t="e">
        <f>AND(#REF!,"AAAAAH//ay4=")</f>
        <v>#REF!</v>
      </c>
      <c r="AV105" t="e">
        <f>AND(#REF!,"AAAAAH//ay8=")</f>
        <v>#REF!</v>
      </c>
      <c r="AW105" t="e">
        <f>AND(#REF!,"AAAAAH//azA=")</f>
        <v>#REF!</v>
      </c>
      <c r="AX105" t="e">
        <f>AND(#REF!,"AAAAAH//azE=")</f>
        <v>#REF!</v>
      </c>
      <c r="AY105" t="e">
        <f>AND(#REF!,"AAAAAH//azI=")</f>
        <v>#REF!</v>
      </c>
      <c r="AZ105" t="e">
        <f>AND(#REF!,"AAAAAH//azM=")</f>
        <v>#REF!</v>
      </c>
      <c r="BA105" t="e">
        <f>AND(#REF!,"AAAAAH//azQ=")</f>
        <v>#REF!</v>
      </c>
      <c r="BB105" t="e">
        <f>AND(#REF!,"AAAAAH//azU=")</f>
        <v>#REF!</v>
      </c>
      <c r="BC105" t="e">
        <f>AND(#REF!,"AAAAAH//azY=")</f>
        <v>#REF!</v>
      </c>
      <c r="BD105" t="e">
        <f>AND(#REF!,"AAAAAH//azc=")</f>
        <v>#REF!</v>
      </c>
      <c r="BE105" t="e">
        <f>AND(#REF!,"AAAAAH//azg=")</f>
        <v>#REF!</v>
      </c>
      <c r="BF105" t="e">
        <f>AND(#REF!,"AAAAAH//azk=")</f>
        <v>#REF!</v>
      </c>
      <c r="BG105" t="e">
        <f>AND(#REF!,"AAAAAH//azo=")</f>
        <v>#REF!</v>
      </c>
      <c r="BH105" t="e">
        <f>AND(#REF!,"AAAAAH//azs=")</f>
        <v>#REF!</v>
      </c>
      <c r="BI105" t="e">
        <f>AND(#REF!,"AAAAAH//azw=")</f>
        <v>#REF!</v>
      </c>
      <c r="BJ105" t="e">
        <f>AND(#REF!,"AAAAAH//az0=")</f>
        <v>#REF!</v>
      </c>
      <c r="BK105" t="e">
        <f>IF(#REF!,"AAAAAH//az4=",0)</f>
        <v>#REF!</v>
      </c>
      <c r="BL105" t="e">
        <f>AND(#REF!,"AAAAAH//az8=")</f>
        <v>#REF!</v>
      </c>
      <c r="BM105" t="e">
        <f>AND(#REF!,"AAAAAH//a0A=")</f>
        <v>#REF!</v>
      </c>
      <c r="BN105" t="e">
        <f>AND(#REF!,"AAAAAH//a0E=")</f>
        <v>#REF!</v>
      </c>
      <c r="BO105" t="e">
        <f>AND(#REF!,"AAAAAH//a0I=")</f>
        <v>#REF!</v>
      </c>
      <c r="BP105" t="e">
        <f>AND(#REF!,"AAAAAH//a0M=")</f>
        <v>#REF!</v>
      </c>
      <c r="BQ105" t="e">
        <f>AND(#REF!,"AAAAAH//a0Q=")</f>
        <v>#REF!</v>
      </c>
      <c r="BR105" t="e">
        <f>AND(#REF!,"AAAAAH//a0U=")</f>
        <v>#REF!</v>
      </c>
      <c r="BS105" t="e">
        <f>AND(#REF!,"AAAAAH//a0Y=")</f>
        <v>#REF!</v>
      </c>
      <c r="BT105" t="e">
        <f>AND(#REF!,"AAAAAH//a0c=")</f>
        <v>#REF!</v>
      </c>
      <c r="BU105" t="e">
        <f>AND(#REF!,"AAAAAH//a0g=")</f>
        <v>#REF!</v>
      </c>
      <c r="BV105" t="e">
        <f>AND(#REF!,"AAAAAH//a0k=")</f>
        <v>#REF!</v>
      </c>
      <c r="BW105" t="e">
        <f>AND(#REF!,"AAAAAH//a0o=")</f>
        <v>#REF!</v>
      </c>
      <c r="BX105" t="e">
        <f>AND(#REF!,"AAAAAH//a0s=")</f>
        <v>#REF!</v>
      </c>
      <c r="BY105" t="e">
        <f>AND(#REF!,"AAAAAH//a0w=")</f>
        <v>#REF!</v>
      </c>
      <c r="BZ105" t="e">
        <f>AND(#REF!,"AAAAAH//a00=")</f>
        <v>#REF!</v>
      </c>
      <c r="CA105" t="e">
        <f>AND(#REF!,"AAAAAH//a04=")</f>
        <v>#REF!</v>
      </c>
      <c r="CB105" t="e">
        <f>AND(#REF!,"AAAAAH//a08=")</f>
        <v>#REF!</v>
      </c>
      <c r="CC105" t="e">
        <f>AND(#REF!,"AAAAAH//a1A=")</f>
        <v>#REF!</v>
      </c>
      <c r="CD105" t="e">
        <f>AND(#REF!,"AAAAAH//a1E=")</f>
        <v>#REF!</v>
      </c>
      <c r="CE105" t="e">
        <f>AND(#REF!,"AAAAAH//a1I=")</f>
        <v>#REF!</v>
      </c>
      <c r="CF105" t="e">
        <f>AND(#REF!,"AAAAAH//a1M=")</f>
        <v>#REF!</v>
      </c>
      <c r="CG105" t="e">
        <f>AND(#REF!,"AAAAAH//a1Q=")</f>
        <v>#REF!</v>
      </c>
      <c r="CH105" t="e">
        <f>AND(#REF!,"AAAAAH//a1U=")</f>
        <v>#REF!</v>
      </c>
      <c r="CI105" t="e">
        <f>AND(#REF!,"AAAAAH//a1Y=")</f>
        <v>#REF!</v>
      </c>
      <c r="CJ105" t="e">
        <f>AND(#REF!,"AAAAAH//a1c=")</f>
        <v>#REF!</v>
      </c>
      <c r="CK105" t="e">
        <f>AND(#REF!,"AAAAAH//a1g=")</f>
        <v>#REF!</v>
      </c>
      <c r="CL105" t="e">
        <f>IF(#REF!,"AAAAAH//a1k=",0)</f>
        <v>#REF!</v>
      </c>
      <c r="CM105" t="e">
        <f>AND(#REF!,"AAAAAH//a1o=")</f>
        <v>#REF!</v>
      </c>
      <c r="CN105" t="e">
        <f>AND(#REF!,"AAAAAH//a1s=")</f>
        <v>#REF!</v>
      </c>
      <c r="CO105" t="e">
        <f>AND(#REF!,"AAAAAH//a1w=")</f>
        <v>#REF!</v>
      </c>
      <c r="CP105" t="e">
        <f>AND(#REF!,"AAAAAH//a10=")</f>
        <v>#REF!</v>
      </c>
      <c r="CQ105" t="e">
        <f>AND(#REF!,"AAAAAH//a14=")</f>
        <v>#REF!</v>
      </c>
      <c r="CR105" t="e">
        <f>AND(#REF!,"AAAAAH//a18=")</f>
        <v>#REF!</v>
      </c>
      <c r="CS105" t="e">
        <f>AND(#REF!,"AAAAAH//a2A=")</f>
        <v>#REF!</v>
      </c>
      <c r="CT105" t="e">
        <f>AND(#REF!,"AAAAAH//a2E=")</f>
        <v>#REF!</v>
      </c>
      <c r="CU105" t="e">
        <f>AND(#REF!,"AAAAAH//a2I=")</f>
        <v>#REF!</v>
      </c>
      <c r="CV105" t="e">
        <f>AND(#REF!,"AAAAAH//a2M=")</f>
        <v>#REF!</v>
      </c>
      <c r="CW105" t="e">
        <f>AND(#REF!,"AAAAAH//a2Q=")</f>
        <v>#REF!</v>
      </c>
      <c r="CX105" t="e">
        <f>AND(#REF!,"AAAAAH//a2U=")</f>
        <v>#REF!</v>
      </c>
      <c r="CY105" t="e">
        <f>AND(#REF!,"AAAAAH//a2Y=")</f>
        <v>#REF!</v>
      </c>
      <c r="CZ105" t="e">
        <f>AND(#REF!,"AAAAAH//a2c=")</f>
        <v>#REF!</v>
      </c>
      <c r="DA105" t="e">
        <f>AND(#REF!,"AAAAAH//a2g=")</f>
        <v>#REF!</v>
      </c>
      <c r="DB105" t="e">
        <f>AND(#REF!,"AAAAAH//a2k=")</f>
        <v>#REF!</v>
      </c>
      <c r="DC105" t="e">
        <f>AND(#REF!,"AAAAAH//a2o=")</f>
        <v>#REF!</v>
      </c>
      <c r="DD105" t="e">
        <f>AND(#REF!,"AAAAAH//a2s=")</f>
        <v>#REF!</v>
      </c>
      <c r="DE105" t="e">
        <f>AND(#REF!,"AAAAAH//a2w=")</f>
        <v>#REF!</v>
      </c>
      <c r="DF105" t="e">
        <f>AND(#REF!,"AAAAAH//a20=")</f>
        <v>#REF!</v>
      </c>
      <c r="DG105" t="e">
        <f>AND(#REF!,"AAAAAH//a24=")</f>
        <v>#REF!</v>
      </c>
      <c r="DH105" t="e">
        <f>AND(#REF!,"AAAAAH//a28=")</f>
        <v>#REF!</v>
      </c>
      <c r="DI105" t="e">
        <f>AND(#REF!,"AAAAAH//a3A=")</f>
        <v>#REF!</v>
      </c>
      <c r="DJ105" t="e">
        <f>AND(#REF!,"AAAAAH//a3E=")</f>
        <v>#REF!</v>
      </c>
      <c r="DK105" t="e">
        <f>AND(#REF!,"AAAAAH//a3I=")</f>
        <v>#REF!</v>
      </c>
      <c r="DL105" t="e">
        <f>AND(#REF!,"AAAAAH//a3M=")</f>
        <v>#REF!</v>
      </c>
      <c r="DM105" t="e">
        <f>IF(#REF!,"AAAAAH//a3Q=",0)</f>
        <v>#REF!</v>
      </c>
      <c r="DN105" t="e">
        <f>AND(#REF!,"AAAAAH//a3U=")</f>
        <v>#REF!</v>
      </c>
      <c r="DO105" t="e">
        <f>AND(#REF!,"AAAAAH//a3Y=")</f>
        <v>#REF!</v>
      </c>
      <c r="DP105" t="e">
        <f>AND(#REF!,"AAAAAH//a3c=")</f>
        <v>#REF!</v>
      </c>
      <c r="DQ105" t="e">
        <f>AND(#REF!,"AAAAAH//a3g=")</f>
        <v>#REF!</v>
      </c>
      <c r="DR105" t="e">
        <f>AND(#REF!,"AAAAAH//a3k=")</f>
        <v>#REF!</v>
      </c>
      <c r="DS105" t="e">
        <f>AND(#REF!,"AAAAAH//a3o=")</f>
        <v>#REF!</v>
      </c>
      <c r="DT105" t="e">
        <f>AND(#REF!,"AAAAAH//a3s=")</f>
        <v>#REF!</v>
      </c>
      <c r="DU105" t="e">
        <f>AND(#REF!,"AAAAAH//a3w=")</f>
        <v>#REF!</v>
      </c>
      <c r="DV105" t="e">
        <f>AND(#REF!,"AAAAAH//a30=")</f>
        <v>#REF!</v>
      </c>
      <c r="DW105" t="e">
        <f>AND(#REF!,"AAAAAH//a34=")</f>
        <v>#REF!</v>
      </c>
      <c r="DX105" t="e">
        <f>AND(#REF!,"AAAAAH//a38=")</f>
        <v>#REF!</v>
      </c>
      <c r="DY105" t="e">
        <f>AND(#REF!,"AAAAAH//a4A=")</f>
        <v>#REF!</v>
      </c>
      <c r="DZ105" t="e">
        <f>AND(#REF!,"AAAAAH//a4E=")</f>
        <v>#REF!</v>
      </c>
      <c r="EA105" t="e">
        <f>AND(#REF!,"AAAAAH//a4I=")</f>
        <v>#REF!</v>
      </c>
      <c r="EB105" t="e">
        <f>AND(#REF!,"AAAAAH//a4M=")</f>
        <v>#REF!</v>
      </c>
      <c r="EC105" t="e">
        <f>AND(#REF!,"AAAAAH//a4Q=")</f>
        <v>#REF!</v>
      </c>
      <c r="ED105" t="e">
        <f>AND(#REF!,"AAAAAH//a4U=")</f>
        <v>#REF!</v>
      </c>
      <c r="EE105" t="e">
        <f>AND(#REF!,"AAAAAH//a4Y=")</f>
        <v>#REF!</v>
      </c>
      <c r="EF105" t="e">
        <f>AND(#REF!,"AAAAAH//a4c=")</f>
        <v>#REF!</v>
      </c>
      <c r="EG105" t="e">
        <f>AND(#REF!,"AAAAAH//a4g=")</f>
        <v>#REF!</v>
      </c>
      <c r="EH105" t="e">
        <f>AND(#REF!,"AAAAAH//a4k=")</f>
        <v>#REF!</v>
      </c>
      <c r="EI105" t="e">
        <f>AND(#REF!,"AAAAAH//a4o=")</f>
        <v>#REF!</v>
      </c>
      <c r="EJ105" t="e">
        <f>AND(#REF!,"AAAAAH//a4s=")</f>
        <v>#REF!</v>
      </c>
      <c r="EK105" t="e">
        <f>AND(#REF!,"AAAAAH//a4w=")</f>
        <v>#REF!</v>
      </c>
      <c r="EL105" t="e">
        <f>AND(#REF!,"AAAAAH//a40=")</f>
        <v>#REF!</v>
      </c>
      <c r="EM105" t="e">
        <f>AND(#REF!,"AAAAAH//a44=")</f>
        <v>#REF!</v>
      </c>
      <c r="EN105" t="e">
        <f>IF(#REF!,"AAAAAH//a48=",0)</f>
        <v>#REF!</v>
      </c>
      <c r="EO105" t="e">
        <f>AND(#REF!,"AAAAAH//a5A=")</f>
        <v>#REF!</v>
      </c>
      <c r="EP105" t="e">
        <f>AND(#REF!,"AAAAAH//a5E=")</f>
        <v>#REF!</v>
      </c>
      <c r="EQ105" t="e">
        <f>AND(#REF!,"AAAAAH//a5I=")</f>
        <v>#REF!</v>
      </c>
      <c r="ER105" t="e">
        <f>AND(#REF!,"AAAAAH//a5M=")</f>
        <v>#REF!</v>
      </c>
      <c r="ES105" t="e">
        <f>AND(#REF!,"AAAAAH//a5Q=")</f>
        <v>#REF!</v>
      </c>
      <c r="ET105" t="e">
        <f>AND(#REF!,"AAAAAH//a5U=")</f>
        <v>#REF!</v>
      </c>
      <c r="EU105" t="e">
        <f>AND(#REF!,"AAAAAH//a5Y=")</f>
        <v>#REF!</v>
      </c>
      <c r="EV105" t="e">
        <f>AND(#REF!,"AAAAAH//a5c=")</f>
        <v>#REF!</v>
      </c>
      <c r="EW105" t="e">
        <f>AND(#REF!,"AAAAAH//a5g=")</f>
        <v>#REF!</v>
      </c>
      <c r="EX105" t="e">
        <f>AND(#REF!,"AAAAAH//a5k=")</f>
        <v>#REF!</v>
      </c>
      <c r="EY105" t="e">
        <f>AND(#REF!,"AAAAAH//a5o=")</f>
        <v>#REF!</v>
      </c>
      <c r="EZ105" t="e">
        <f>AND(#REF!,"AAAAAH//a5s=")</f>
        <v>#REF!</v>
      </c>
      <c r="FA105" t="e">
        <f>AND(#REF!,"AAAAAH//a5w=")</f>
        <v>#REF!</v>
      </c>
      <c r="FB105" t="e">
        <f>AND(#REF!,"AAAAAH//a50=")</f>
        <v>#REF!</v>
      </c>
      <c r="FC105" t="e">
        <f>AND(#REF!,"AAAAAH//a54=")</f>
        <v>#REF!</v>
      </c>
      <c r="FD105" t="e">
        <f>AND(#REF!,"AAAAAH//a58=")</f>
        <v>#REF!</v>
      </c>
      <c r="FE105" t="e">
        <f>AND(#REF!,"AAAAAH//a6A=")</f>
        <v>#REF!</v>
      </c>
      <c r="FF105" t="e">
        <f>AND(#REF!,"AAAAAH//a6E=")</f>
        <v>#REF!</v>
      </c>
      <c r="FG105" t="e">
        <f>AND(#REF!,"AAAAAH//a6I=")</f>
        <v>#REF!</v>
      </c>
      <c r="FH105" t="e">
        <f>AND(#REF!,"AAAAAH//a6M=")</f>
        <v>#REF!</v>
      </c>
      <c r="FI105" t="e">
        <f>AND(#REF!,"AAAAAH//a6Q=")</f>
        <v>#REF!</v>
      </c>
      <c r="FJ105" t="e">
        <f>AND(#REF!,"AAAAAH//a6U=")</f>
        <v>#REF!</v>
      </c>
      <c r="FK105" t="e">
        <f>AND(#REF!,"AAAAAH//a6Y=")</f>
        <v>#REF!</v>
      </c>
      <c r="FL105" t="e">
        <f>AND(#REF!,"AAAAAH//a6c=")</f>
        <v>#REF!</v>
      </c>
      <c r="FM105" t="e">
        <f>AND(#REF!,"AAAAAH//a6g=")</f>
        <v>#REF!</v>
      </c>
      <c r="FN105" t="e">
        <f>AND(#REF!,"AAAAAH//a6k=")</f>
        <v>#REF!</v>
      </c>
      <c r="FO105" t="e">
        <f>IF(#REF!,"AAAAAH//a6o=",0)</f>
        <v>#REF!</v>
      </c>
      <c r="FP105" t="e">
        <f>AND(#REF!,"AAAAAH//a6s=")</f>
        <v>#REF!</v>
      </c>
      <c r="FQ105" t="e">
        <f>AND(#REF!,"AAAAAH//a6w=")</f>
        <v>#REF!</v>
      </c>
      <c r="FR105" t="e">
        <f>AND(#REF!,"AAAAAH//a60=")</f>
        <v>#REF!</v>
      </c>
      <c r="FS105" t="e">
        <f>AND(#REF!,"AAAAAH//a64=")</f>
        <v>#REF!</v>
      </c>
      <c r="FT105" t="e">
        <f>AND(#REF!,"AAAAAH//a68=")</f>
        <v>#REF!</v>
      </c>
      <c r="FU105" t="e">
        <f>AND(#REF!,"AAAAAH//a7A=")</f>
        <v>#REF!</v>
      </c>
      <c r="FV105" t="e">
        <f>AND(#REF!,"AAAAAH//a7E=")</f>
        <v>#REF!</v>
      </c>
      <c r="FW105" t="e">
        <f>AND(#REF!,"AAAAAH//a7I=")</f>
        <v>#REF!</v>
      </c>
      <c r="FX105" t="e">
        <f>AND(#REF!,"AAAAAH//a7M=")</f>
        <v>#REF!</v>
      </c>
      <c r="FY105" t="e">
        <f>AND(#REF!,"AAAAAH//a7Q=")</f>
        <v>#REF!</v>
      </c>
      <c r="FZ105" t="e">
        <f>AND(#REF!,"AAAAAH//a7U=")</f>
        <v>#REF!</v>
      </c>
      <c r="GA105" t="e">
        <f>AND(#REF!,"AAAAAH//a7Y=")</f>
        <v>#REF!</v>
      </c>
      <c r="GB105" t="e">
        <f>AND(#REF!,"AAAAAH//a7c=")</f>
        <v>#REF!</v>
      </c>
      <c r="GC105" t="e">
        <f>AND(#REF!,"AAAAAH//a7g=")</f>
        <v>#REF!</v>
      </c>
      <c r="GD105" t="e">
        <f>AND(#REF!,"AAAAAH//a7k=")</f>
        <v>#REF!</v>
      </c>
      <c r="GE105" t="e">
        <f>AND(#REF!,"AAAAAH//a7o=")</f>
        <v>#REF!</v>
      </c>
      <c r="GF105" t="e">
        <f>AND(#REF!,"AAAAAH//a7s=")</f>
        <v>#REF!</v>
      </c>
      <c r="GG105" t="e">
        <f>AND(#REF!,"AAAAAH//a7w=")</f>
        <v>#REF!</v>
      </c>
      <c r="GH105" t="e">
        <f>AND(#REF!,"AAAAAH//a70=")</f>
        <v>#REF!</v>
      </c>
      <c r="GI105" t="e">
        <f>AND(#REF!,"AAAAAH//a74=")</f>
        <v>#REF!</v>
      </c>
      <c r="GJ105" t="e">
        <f>AND(#REF!,"AAAAAH//a78=")</f>
        <v>#REF!</v>
      </c>
      <c r="GK105" t="e">
        <f>AND(#REF!,"AAAAAH//a8A=")</f>
        <v>#REF!</v>
      </c>
      <c r="GL105" t="e">
        <f>AND(#REF!,"AAAAAH//a8E=")</f>
        <v>#REF!</v>
      </c>
      <c r="GM105" t="e">
        <f>AND(#REF!,"AAAAAH//a8I=")</f>
        <v>#REF!</v>
      </c>
      <c r="GN105" t="e">
        <f>AND(#REF!,"AAAAAH//a8M=")</f>
        <v>#REF!</v>
      </c>
      <c r="GO105" t="e">
        <f>AND(#REF!,"AAAAAH//a8Q=")</f>
        <v>#REF!</v>
      </c>
      <c r="GP105" t="e">
        <f>IF(#REF!,"AAAAAH//a8U=",0)</f>
        <v>#REF!</v>
      </c>
      <c r="GQ105" t="e">
        <f>AND(#REF!,"AAAAAH//a8Y=")</f>
        <v>#REF!</v>
      </c>
      <c r="GR105" t="e">
        <f>AND(#REF!,"AAAAAH//a8c=")</f>
        <v>#REF!</v>
      </c>
      <c r="GS105" t="e">
        <f>AND(#REF!,"AAAAAH//a8g=")</f>
        <v>#REF!</v>
      </c>
      <c r="GT105" t="e">
        <f>AND(#REF!,"AAAAAH//a8k=")</f>
        <v>#REF!</v>
      </c>
      <c r="GU105" t="e">
        <f>AND(#REF!,"AAAAAH//a8o=")</f>
        <v>#REF!</v>
      </c>
      <c r="GV105" t="e">
        <f>AND(#REF!,"AAAAAH//a8s=")</f>
        <v>#REF!</v>
      </c>
      <c r="GW105" t="e">
        <f>AND(#REF!,"AAAAAH//a8w=")</f>
        <v>#REF!</v>
      </c>
      <c r="GX105" t="e">
        <f>AND(#REF!,"AAAAAH//a80=")</f>
        <v>#REF!</v>
      </c>
      <c r="GY105" t="e">
        <f>AND(#REF!,"AAAAAH//a84=")</f>
        <v>#REF!</v>
      </c>
      <c r="GZ105" t="e">
        <f>AND(#REF!,"AAAAAH//a88=")</f>
        <v>#REF!</v>
      </c>
      <c r="HA105" t="e">
        <f>AND(#REF!,"AAAAAH//a9A=")</f>
        <v>#REF!</v>
      </c>
      <c r="HB105" t="e">
        <f>AND(#REF!,"AAAAAH//a9E=")</f>
        <v>#REF!</v>
      </c>
      <c r="HC105" t="e">
        <f>AND(#REF!,"AAAAAH//a9I=")</f>
        <v>#REF!</v>
      </c>
      <c r="HD105" t="e">
        <f>AND(#REF!,"AAAAAH//a9M=")</f>
        <v>#REF!</v>
      </c>
      <c r="HE105" t="e">
        <f>AND(#REF!,"AAAAAH//a9Q=")</f>
        <v>#REF!</v>
      </c>
      <c r="HF105" t="e">
        <f>AND(#REF!,"AAAAAH//a9U=")</f>
        <v>#REF!</v>
      </c>
      <c r="HG105" t="e">
        <f>AND(#REF!,"AAAAAH//a9Y=")</f>
        <v>#REF!</v>
      </c>
      <c r="HH105" t="e">
        <f>AND(#REF!,"AAAAAH//a9c=")</f>
        <v>#REF!</v>
      </c>
      <c r="HI105" t="e">
        <f>AND(#REF!,"AAAAAH//a9g=")</f>
        <v>#REF!</v>
      </c>
      <c r="HJ105" t="e">
        <f>AND(#REF!,"AAAAAH//a9k=")</f>
        <v>#REF!</v>
      </c>
      <c r="HK105" t="e">
        <f>AND(#REF!,"AAAAAH//a9o=")</f>
        <v>#REF!</v>
      </c>
      <c r="HL105" t="e">
        <f>AND(#REF!,"AAAAAH//a9s=")</f>
        <v>#REF!</v>
      </c>
      <c r="HM105" t="e">
        <f>AND(#REF!,"AAAAAH//a9w=")</f>
        <v>#REF!</v>
      </c>
      <c r="HN105" t="e">
        <f>AND(#REF!,"AAAAAH//a90=")</f>
        <v>#REF!</v>
      </c>
      <c r="HO105" t="e">
        <f>AND(#REF!,"AAAAAH//a94=")</f>
        <v>#REF!</v>
      </c>
      <c r="HP105" t="e">
        <f>AND(#REF!,"AAAAAH//a98=")</f>
        <v>#REF!</v>
      </c>
      <c r="HQ105" t="e">
        <f>IF(#REF!,"AAAAAH//a+A=",0)</f>
        <v>#REF!</v>
      </c>
      <c r="HR105" t="e">
        <f>AND(#REF!,"AAAAAH//a+E=")</f>
        <v>#REF!</v>
      </c>
      <c r="HS105" t="e">
        <f>AND(#REF!,"AAAAAH//a+I=")</f>
        <v>#REF!</v>
      </c>
      <c r="HT105" t="e">
        <f>AND(#REF!,"AAAAAH//a+M=")</f>
        <v>#REF!</v>
      </c>
      <c r="HU105" t="e">
        <f>AND(#REF!,"AAAAAH//a+Q=")</f>
        <v>#REF!</v>
      </c>
      <c r="HV105" t="e">
        <f>AND(#REF!,"AAAAAH//a+U=")</f>
        <v>#REF!</v>
      </c>
      <c r="HW105" t="e">
        <f>AND(#REF!,"AAAAAH//a+Y=")</f>
        <v>#REF!</v>
      </c>
      <c r="HX105" t="e">
        <f>AND(#REF!,"AAAAAH//a+c=")</f>
        <v>#REF!</v>
      </c>
      <c r="HY105" t="e">
        <f>AND(#REF!,"AAAAAH//a+g=")</f>
        <v>#REF!</v>
      </c>
      <c r="HZ105" t="e">
        <f>AND(#REF!,"AAAAAH//a+k=")</f>
        <v>#REF!</v>
      </c>
      <c r="IA105" t="e">
        <f>AND(#REF!,"AAAAAH//a+o=")</f>
        <v>#REF!</v>
      </c>
      <c r="IB105" t="e">
        <f>AND(#REF!,"AAAAAH//a+s=")</f>
        <v>#REF!</v>
      </c>
      <c r="IC105" t="e">
        <f>AND(#REF!,"AAAAAH//a+w=")</f>
        <v>#REF!</v>
      </c>
      <c r="ID105" t="e">
        <f>AND(#REF!,"AAAAAH//a+0=")</f>
        <v>#REF!</v>
      </c>
      <c r="IE105" t="e">
        <f>AND(#REF!,"AAAAAH//a+4=")</f>
        <v>#REF!</v>
      </c>
      <c r="IF105" t="e">
        <f>AND(#REF!,"AAAAAH//a+8=")</f>
        <v>#REF!</v>
      </c>
      <c r="IG105" t="e">
        <f>AND(#REF!,"AAAAAH//a/A=")</f>
        <v>#REF!</v>
      </c>
      <c r="IH105" t="e">
        <f>AND(#REF!,"AAAAAH//a/E=")</f>
        <v>#REF!</v>
      </c>
      <c r="II105" t="e">
        <f>AND(#REF!,"AAAAAH//a/I=")</f>
        <v>#REF!</v>
      </c>
      <c r="IJ105" t="e">
        <f>AND(#REF!,"AAAAAH//a/M=")</f>
        <v>#REF!</v>
      </c>
      <c r="IK105" t="e">
        <f>AND(#REF!,"AAAAAH//a/Q=")</f>
        <v>#REF!</v>
      </c>
      <c r="IL105" t="e">
        <f>AND(#REF!,"AAAAAH//a/U=")</f>
        <v>#REF!</v>
      </c>
      <c r="IM105" t="e">
        <f>AND(#REF!,"AAAAAH//a/Y=")</f>
        <v>#REF!</v>
      </c>
      <c r="IN105" t="e">
        <f>AND(#REF!,"AAAAAH//a/c=")</f>
        <v>#REF!</v>
      </c>
      <c r="IO105" t="e">
        <f>AND(#REF!,"AAAAAH//a/g=")</f>
        <v>#REF!</v>
      </c>
      <c r="IP105" t="e">
        <f>AND(#REF!,"AAAAAH//a/k=")</f>
        <v>#REF!</v>
      </c>
      <c r="IQ105" t="e">
        <f>AND(#REF!,"AAAAAH//a/o=")</f>
        <v>#REF!</v>
      </c>
      <c r="IR105" t="e">
        <f>IF(#REF!,"AAAAAH//a/s=",0)</f>
        <v>#REF!</v>
      </c>
      <c r="IS105" t="e">
        <f>AND(#REF!,"AAAAAH//a/w=")</f>
        <v>#REF!</v>
      </c>
      <c r="IT105" t="e">
        <f>AND(#REF!,"AAAAAH//a/0=")</f>
        <v>#REF!</v>
      </c>
      <c r="IU105" t="e">
        <f>AND(#REF!,"AAAAAH//a/4=")</f>
        <v>#REF!</v>
      </c>
      <c r="IV105" t="e">
        <f>AND(#REF!,"AAAAAH//a/8=")</f>
        <v>#REF!</v>
      </c>
    </row>
    <row r="106" spans="1:256" x14ac:dyDescent="0.2">
      <c r="A106" t="e">
        <f>AND(#REF!,"AAAAAGX9ugA=")</f>
        <v>#REF!</v>
      </c>
      <c r="B106" t="e">
        <f>AND(#REF!,"AAAAAGX9ugE=")</f>
        <v>#REF!</v>
      </c>
      <c r="C106" t="e">
        <f>AND(#REF!,"AAAAAGX9ugI=")</f>
        <v>#REF!</v>
      </c>
      <c r="D106" t="e">
        <f>AND(#REF!,"AAAAAGX9ugM=")</f>
        <v>#REF!</v>
      </c>
      <c r="E106" t="e">
        <f>AND(#REF!,"AAAAAGX9ugQ=")</f>
        <v>#REF!</v>
      </c>
      <c r="F106" t="e">
        <f>AND(#REF!,"AAAAAGX9ugU=")</f>
        <v>#REF!</v>
      </c>
      <c r="G106" t="e">
        <f>AND(#REF!,"AAAAAGX9ugY=")</f>
        <v>#REF!</v>
      </c>
      <c r="H106" t="e">
        <f>AND(#REF!,"AAAAAGX9ugc=")</f>
        <v>#REF!</v>
      </c>
      <c r="I106" t="e">
        <f>AND(#REF!,"AAAAAGX9ugg=")</f>
        <v>#REF!</v>
      </c>
      <c r="J106" t="e">
        <f>AND(#REF!,"AAAAAGX9ugk=")</f>
        <v>#REF!</v>
      </c>
      <c r="K106" t="e">
        <f>AND(#REF!,"AAAAAGX9ugo=")</f>
        <v>#REF!</v>
      </c>
      <c r="L106" t="e">
        <f>AND(#REF!,"AAAAAGX9ugs=")</f>
        <v>#REF!</v>
      </c>
      <c r="M106" t="e">
        <f>AND(#REF!,"AAAAAGX9ugw=")</f>
        <v>#REF!</v>
      </c>
      <c r="N106" t="e">
        <f>AND(#REF!,"AAAAAGX9ug0=")</f>
        <v>#REF!</v>
      </c>
      <c r="O106" t="e">
        <f>AND(#REF!,"AAAAAGX9ug4=")</f>
        <v>#REF!</v>
      </c>
      <c r="P106" t="e">
        <f>AND(#REF!,"AAAAAGX9ug8=")</f>
        <v>#REF!</v>
      </c>
      <c r="Q106" t="e">
        <f>AND(#REF!,"AAAAAGX9uhA=")</f>
        <v>#REF!</v>
      </c>
      <c r="R106" t="e">
        <f>AND(#REF!,"AAAAAGX9uhE=")</f>
        <v>#REF!</v>
      </c>
      <c r="S106" t="e">
        <f>AND(#REF!,"AAAAAGX9uhI=")</f>
        <v>#REF!</v>
      </c>
      <c r="T106" t="e">
        <f>AND(#REF!,"AAAAAGX9uhM=")</f>
        <v>#REF!</v>
      </c>
      <c r="U106" t="e">
        <f>AND(#REF!,"AAAAAGX9uhQ=")</f>
        <v>#REF!</v>
      </c>
      <c r="V106" t="e">
        <f>AND(#REF!,"AAAAAGX9uhU=")</f>
        <v>#REF!</v>
      </c>
      <c r="W106" t="e">
        <f>IF(#REF!,"AAAAAGX9uhY=",0)</f>
        <v>#REF!</v>
      </c>
      <c r="X106" t="e">
        <f>AND(#REF!,"AAAAAGX9uhc=")</f>
        <v>#REF!</v>
      </c>
      <c r="Y106" t="e">
        <f>AND(#REF!,"AAAAAGX9uhg=")</f>
        <v>#REF!</v>
      </c>
      <c r="Z106" t="e">
        <f>AND(#REF!,"AAAAAGX9uhk=")</f>
        <v>#REF!</v>
      </c>
      <c r="AA106" t="e">
        <f>AND(#REF!,"AAAAAGX9uho=")</f>
        <v>#REF!</v>
      </c>
      <c r="AB106" t="e">
        <f>AND(#REF!,"AAAAAGX9uhs=")</f>
        <v>#REF!</v>
      </c>
      <c r="AC106" t="e">
        <f>AND(#REF!,"AAAAAGX9uhw=")</f>
        <v>#REF!</v>
      </c>
      <c r="AD106" t="e">
        <f>AND(#REF!,"AAAAAGX9uh0=")</f>
        <v>#REF!</v>
      </c>
      <c r="AE106" t="e">
        <f>AND(#REF!,"AAAAAGX9uh4=")</f>
        <v>#REF!</v>
      </c>
      <c r="AF106" t="e">
        <f>AND(#REF!,"AAAAAGX9uh8=")</f>
        <v>#REF!</v>
      </c>
      <c r="AG106" t="e">
        <f>AND(#REF!,"AAAAAGX9uiA=")</f>
        <v>#REF!</v>
      </c>
      <c r="AH106" t="e">
        <f>AND(#REF!,"AAAAAGX9uiE=")</f>
        <v>#REF!</v>
      </c>
      <c r="AI106" t="e">
        <f>AND(#REF!,"AAAAAGX9uiI=")</f>
        <v>#REF!</v>
      </c>
      <c r="AJ106" t="e">
        <f>AND(#REF!,"AAAAAGX9uiM=")</f>
        <v>#REF!</v>
      </c>
      <c r="AK106" t="e">
        <f>AND(#REF!,"AAAAAGX9uiQ=")</f>
        <v>#REF!</v>
      </c>
      <c r="AL106" t="e">
        <f>AND(#REF!,"AAAAAGX9uiU=")</f>
        <v>#REF!</v>
      </c>
      <c r="AM106" t="e">
        <f>AND(#REF!,"AAAAAGX9uiY=")</f>
        <v>#REF!</v>
      </c>
      <c r="AN106" t="e">
        <f>AND(#REF!,"AAAAAGX9uic=")</f>
        <v>#REF!</v>
      </c>
      <c r="AO106" t="e">
        <f>AND(#REF!,"AAAAAGX9uig=")</f>
        <v>#REF!</v>
      </c>
      <c r="AP106" t="e">
        <f>AND(#REF!,"AAAAAGX9uik=")</f>
        <v>#REF!</v>
      </c>
      <c r="AQ106" t="e">
        <f>AND(#REF!,"AAAAAGX9uio=")</f>
        <v>#REF!</v>
      </c>
      <c r="AR106" t="e">
        <f>AND(#REF!,"AAAAAGX9uis=")</f>
        <v>#REF!</v>
      </c>
      <c r="AS106" t="e">
        <f>AND(#REF!,"AAAAAGX9uiw=")</f>
        <v>#REF!</v>
      </c>
      <c r="AT106" t="e">
        <f>AND(#REF!,"AAAAAGX9ui0=")</f>
        <v>#REF!</v>
      </c>
      <c r="AU106" t="e">
        <f>AND(#REF!,"AAAAAGX9ui4=")</f>
        <v>#REF!</v>
      </c>
      <c r="AV106" t="e">
        <f>AND(#REF!,"AAAAAGX9ui8=")</f>
        <v>#REF!</v>
      </c>
      <c r="AW106" t="e">
        <f>AND(#REF!,"AAAAAGX9ujA=")</f>
        <v>#REF!</v>
      </c>
      <c r="AX106" t="e">
        <f>IF(#REF!,"AAAAAGX9ujE=",0)</f>
        <v>#REF!</v>
      </c>
      <c r="AY106" t="e">
        <f>AND(#REF!,"AAAAAGX9ujI=")</f>
        <v>#REF!</v>
      </c>
      <c r="AZ106" t="e">
        <f>AND(#REF!,"AAAAAGX9ujM=")</f>
        <v>#REF!</v>
      </c>
      <c r="BA106" t="e">
        <f>AND(#REF!,"AAAAAGX9ujQ=")</f>
        <v>#REF!</v>
      </c>
      <c r="BB106" t="e">
        <f>AND(#REF!,"AAAAAGX9ujU=")</f>
        <v>#REF!</v>
      </c>
      <c r="BC106" t="e">
        <f>AND(#REF!,"AAAAAGX9ujY=")</f>
        <v>#REF!</v>
      </c>
      <c r="BD106" t="e">
        <f>AND(#REF!,"AAAAAGX9ujc=")</f>
        <v>#REF!</v>
      </c>
      <c r="BE106" t="e">
        <f>AND(#REF!,"AAAAAGX9ujg=")</f>
        <v>#REF!</v>
      </c>
      <c r="BF106" t="e">
        <f>AND(#REF!,"AAAAAGX9ujk=")</f>
        <v>#REF!</v>
      </c>
      <c r="BG106" t="e">
        <f>AND(#REF!,"AAAAAGX9ujo=")</f>
        <v>#REF!</v>
      </c>
      <c r="BH106" t="e">
        <f>AND(#REF!,"AAAAAGX9ujs=")</f>
        <v>#REF!</v>
      </c>
      <c r="BI106" t="e">
        <f>AND(#REF!,"AAAAAGX9ujw=")</f>
        <v>#REF!</v>
      </c>
      <c r="BJ106" t="e">
        <f>AND(#REF!,"AAAAAGX9uj0=")</f>
        <v>#REF!</v>
      </c>
      <c r="BK106" t="e">
        <f>AND(#REF!,"AAAAAGX9uj4=")</f>
        <v>#REF!</v>
      </c>
      <c r="BL106" t="e">
        <f>AND(#REF!,"AAAAAGX9uj8=")</f>
        <v>#REF!</v>
      </c>
      <c r="BM106" t="e">
        <f>AND(#REF!,"AAAAAGX9ukA=")</f>
        <v>#REF!</v>
      </c>
      <c r="BN106" t="e">
        <f>AND(#REF!,"AAAAAGX9ukE=")</f>
        <v>#REF!</v>
      </c>
      <c r="BO106" t="e">
        <f>AND(#REF!,"AAAAAGX9ukI=")</f>
        <v>#REF!</v>
      </c>
      <c r="BP106" t="e">
        <f>AND(#REF!,"AAAAAGX9ukM=")</f>
        <v>#REF!</v>
      </c>
      <c r="BQ106" t="e">
        <f>AND(#REF!,"AAAAAGX9ukQ=")</f>
        <v>#REF!</v>
      </c>
      <c r="BR106" t="e">
        <f>AND(#REF!,"AAAAAGX9ukU=")</f>
        <v>#REF!</v>
      </c>
      <c r="BS106" t="e">
        <f>AND(#REF!,"AAAAAGX9ukY=")</f>
        <v>#REF!</v>
      </c>
      <c r="BT106" t="e">
        <f>AND(#REF!,"AAAAAGX9ukc=")</f>
        <v>#REF!</v>
      </c>
      <c r="BU106" t="e">
        <f>AND(#REF!,"AAAAAGX9ukg=")</f>
        <v>#REF!</v>
      </c>
      <c r="BV106" t="e">
        <f>AND(#REF!,"AAAAAGX9ukk=")</f>
        <v>#REF!</v>
      </c>
      <c r="BW106" t="e">
        <f>AND(#REF!,"AAAAAGX9uko=")</f>
        <v>#REF!</v>
      </c>
      <c r="BX106" t="e">
        <f>AND(#REF!,"AAAAAGX9uks=")</f>
        <v>#REF!</v>
      </c>
      <c r="BY106" t="e">
        <f>IF(#REF!,"AAAAAGX9ukw=",0)</f>
        <v>#REF!</v>
      </c>
      <c r="BZ106" t="e">
        <f>AND(#REF!,"AAAAAGX9uk0=")</f>
        <v>#REF!</v>
      </c>
      <c r="CA106" t="e">
        <f>AND(#REF!,"AAAAAGX9uk4=")</f>
        <v>#REF!</v>
      </c>
      <c r="CB106" t="e">
        <f>AND(#REF!,"AAAAAGX9uk8=")</f>
        <v>#REF!</v>
      </c>
      <c r="CC106" t="e">
        <f>AND(#REF!,"AAAAAGX9ulA=")</f>
        <v>#REF!</v>
      </c>
      <c r="CD106" t="e">
        <f>AND(#REF!,"AAAAAGX9ulE=")</f>
        <v>#REF!</v>
      </c>
      <c r="CE106" t="e">
        <f>AND(#REF!,"AAAAAGX9ulI=")</f>
        <v>#REF!</v>
      </c>
      <c r="CF106" t="e">
        <f>AND(#REF!,"AAAAAGX9ulM=")</f>
        <v>#REF!</v>
      </c>
      <c r="CG106" t="e">
        <f>AND(#REF!,"AAAAAGX9ulQ=")</f>
        <v>#REF!</v>
      </c>
      <c r="CH106" t="e">
        <f>AND(#REF!,"AAAAAGX9ulU=")</f>
        <v>#REF!</v>
      </c>
      <c r="CI106" t="e">
        <f>AND(#REF!,"AAAAAGX9ulY=")</f>
        <v>#REF!</v>
      </c>
      <c r="CJ106" t="e">
        <f>AND(#REF!,"AAAAAGX9ulc=")</f>
        <v>#REF!</v>
      </c>
      <c r="CK106" t="e">
        <f>AND(#REF!,"AAAAAGX9ulg=")</f>
        <v>#REF!</v>
      </c>
      <c r="CL106" t="e">
        <f>AND(#REF!,"AAAAAGX9ulk=")</f>
        <v>#REF!</v>
      </c>
      <c r="CM106" t="e">
        <f>AND(#REF!,"AAAAAGX9ulo=")</f>
        <v>#REF!</v>
      </c>
      <c r="CN106" t="e">
        <f>AND(#REF!,"AAAAAGX9uls=")</f>
        <v>#REF!</v>
      </c>
      <c r="CO106" t="e">
        <f>AND(#REF!,"AAAAAGX9ulw=")</f>
        <v>#REF!</v>
      </c>
      <c r="CP106" t="e">
        <f>AND(#REF!,"AAAAAGX9ul0=")</f>
        <v>#REF!</v>
      </c>
      <c r="CQ106" t="e">
        <f>AND(#REF!,"AAAAAGX9ul4=")</f>
        <v>#REF!</v>
      </c>
      <c r="CR106" t="e">
        <f>AND(#REF!,"AAAAAGX9ul8=")</f>
        <v>#REF!</v>
      </c>
      <c r="CS106" t="e">
        <f>AND(#REF!,"AAAAAGX9umA=")</f>
        <v>#REF!</v>
      </c>
      <c r="CT106" t="e">
        <f>AND(#REF!,"AAAAAGX9umE=")</f>
        <v>#REF!</v>
      </c>
      <c r="CU106" t="e">
        <f>AND(#REF!,"AAAAAGX9umI=")</f>
        <v>#REF!</v>
      </c>
      <c r="CV106" t="e">
        <f>AND(#REF!,"AAAAAGX9umM=")</f>
        <v>#REF!</v>
      </c>
      <c r="CW106" t="e">
        <f>AND(#REF!,"AAAAAGX9umQ=")</f>
        <v>#REF!</v>
      </c>
      <c r="CX106" t="e">
        <f>AND(#REF!,"AAAAAGX9umU=")</f>
        <v>#REF!</v>
      </c>
      <c r="CY106" t="e">
        <f>AND(#REF!,"AAAAAGX9umY=")</f>
        <v>#REF!</v>
      </c>
      <c r="CZ106" t="e">
        <f>IF(#REF!,"AAAAAGX9umc=",0)</f>
        <v>#REF!</v>
      </c>
      <c r="DA106" t="e">
        <f>AND(#REF!,"AAAAAGX9umg=")</f>
        <v>#REF!</v>
      </c>
      <c r="DB106" t="e">
        <f>AND(#REF!,"AAAAAGX9umk=")</f>
        <v>#REF!</v>
      </c>
      <c r="DC106" t="e">
        <f>AND(#REF!,"AAAAAGX9umo=")</f>
        <v>#REF!</v>
      </c>
      <c r="DD106" t="e">
        <f>AND(#REF!,"AAAAAGX9ums=")</f>
        <v>#REF!</v>
      </c>
      <c r="DE106" t="e">
        <f>AND(#REF!,"AAAAAGX9umw=")</f>
        <v>#REF!</v>
      </c>
      <c r="DF106" t="e">
        <f>AND(#REF!,"AAAAAGX9um0=")</f>
        <v>#REF!</v>
      </c>
      <c r="DG106" t="e">
        <f>AND(#REF!,"AAAAAGX9um4=")</f>
        <v>#REF!</v>
      </c>
      <c r="DH106" t="e">
        <f>AND(#REF!,"AAAAAGX9um8=")</f>
        <v>#REF!</v>
      </c>
      <c r="DI106" t="e">
        <f>AND(#REF!,"AAAAAGX9unA=")</f>
        <v>#REF!</v>
      </c>
      <c r="DJ106" t="e">
        <f>AND(#REF!,"AAAAAGX9unE=")</f>
        <v>#REF!</v>
      </c>
      <c r="DK106" t="e">
        <f>AND(#REF!,"AAAAAGX9unI=")</f>
        <v>#REF!</v>
      </c>
      <c r="DL106" t="e">
        <f>AND(#REF!,"AAAAAGX9unM=")</f>
        <v>#REF!</v>
      </c>
      <c r="DM106" t="e">
        <f>AND(#REF!,"AAAAAGX9unQ=")</f>
        <v>#REF!</v>
      </c>
      <c r="DN106" t="e">
        <f>AND(#REF!,"AAAAAGX9unU=")</f>
        <v>#REF!</v>
      </c>
      <c r="DO106" t="e">
        <f>AND(#REF!,"AAAAAGX9unY=")</f>
        <v>#REF!</v>
      </c>
      <c r="DP106" t="e">
        <f>AND(#REF!,"AAAAAGX9unc=")</f>
        <v>#REF!</v>
      </c>
      <c r="DQ106" t="e">
        <f>AND(#REF!,"AAAAAGX9ung=")</f>
        <v>#REF!</v>
      </c>
      <c r="DR106" t="e">
        <f>AND(#REF!,"AAAAAGX9unk=")</f>
        <v>#REF!</v>
      </c>
      <c r="DS106" t="e">
        <f>AND(#REF!,"AAAAAGX9uno=")</f>
        <v>#REF!</v>
      </c>
      <c r="DT106" t="e">
        <f>AND(#REF!,"AAAAAGX9uns=")</f>
        <v>#REF!</v>
      </c>
      <c r="DU106" t="e">
        <f>AND(#REF!,"AAAAAGX9unw=")</f>
        <v>#REF!</v>
      </c>
      <c r="DV106" t="e">
        <f>AND(#REF!,"AAAAAGX9un0=")</f>
        <v>#REF!</v>
      </c>
      <c r="DW106" t="e">
        <f>AND(#REF!,"AAAAAGX9un4=")</f>
        <v>#REF!</v>
      </c>
      <c r="DX106" t="e">
        <f>AND(#REF!,"AAAAAGX9un8=")</f>
        <v>#REF!</v>
      </c>
      <c r="DY106" t="e">
        <f>AND(#REF!,"AAAAAGX9uoA=")</f>
        <v>#REF!</v>
      </c>
      <c r="DZ106" t="e">
        <f>AND(#REF!,"AAAAAGX9uoE=")</f>
        <v>#REF!</v>
      </c>
      <c r="EA106" t="e">
        <f>IF(#REF!,"AAAAAGX9uoI=",0)</f>
        <v>#REF!</v>
      </c>
      <c r="EB106" t="e">
        <f>AND(#REF!,"AAAAAGX9uoM=")</f>
        <v>#REF!</v>
      </c>
      <c r="EC106" t="e">
        <f>AND(#REF!,"AAAAAGX9uoQ=")</f>
        <v>#REF!</v>
      </c>
      <c r="ED106" t="e">
        <f>AND(#REF!,"AAAAAGX9uoU=")</f>
        <v>#REF!</v>
      </c>
      <c r="EE106" t="e">
        <f>AND(#REF!,"AAAAAGX9uoY=")</f>
        <v>#REF!</v>
      </c>
      <c r="EF106" t="e">
        <f>AND(#REF!,"AAAAAGX9uoc=")</f>
        <v>#REF!</v>
      </c>
      <c r="EG106" t="e">
        <f>AND(#REF!,"AAAAAGX9uog=")</f>
        <v>#REF!</v>
      </c>
      <c r="EH106" t="e">
        <f>AND(#REF!,"AAAAAGX9uok=")</f>
        <v>#REF!</v>
      </c>
      <c r="EI106" t="e">
        <f>AND(#REF!,"AAAAAGX9uoo=")</f>
        <v>#REF!</v>
      </c>
      <c r="EJ106" t="e">
        <f>AND(#REF!,"AAAAAGX9uos=")</f>
        <v>#REF!</v>
      </c>
      <c r="EK106" t="e">
        <f>AND(#REF!,"AAAAAGX9uow=")</f>
        <v>#REF!</v>
      </c>
      <c r="EL106" t="e">
        <f>AND(#REF!,"AAAAAGX9uo0=")</f>
        <v>#REF!</v>
      </c>
      <c r="EM106" t="e">
        <f>AND(#REF!,"AAAAAGX9uo4=")</f>
        <v>#REF!</v>
      </c>
      <c r="EN106" t="e">
        <f>AND(#REF!,"AAAAAGX9uo8=")</f>
        <v>#REF!</v>
      </c>
      <c r="EO106" t="e">
        <f>AND(#REF!,"AAAAAGX9upA=")</f>
        <v>#REF!</v>
      </c>
      <c r="EP106" t="e">
        <f>AND(#REF!,"AAAAAGX9upE=")</f>
        <v>#REF!</v>
      </c>
      <c r="EQ106" t="e">
        <f>AND(#REF!,"AAAAAGX9upI=")</f>
        <v>#REF!</v>
      </c>
      <c r="ER106" t="e">
        <f>AND(#REF!,"AAAAAGX9upM=")</f>
        <v>#REF!</v>
      </c>
      <c r="ES106" t="e">
        <f>AND(#REF!,"AAAAAGX9upQ=")</f>
        <v>#REF!</v>
      </c>
      <c r="ET106" t="e">
        <f>AND(#REF!,"AAAAAGX9upU=")</f>
        <v>#REF!</v>
      </c>
      <c r="EU106" t="e">
        <f>AND(#REF!,"AAAAAGX9upY=")</f>
        <v>#REF!</v>
      </c>
      <c r="EV106" t="e">
        <f>AND(#REF!,"AAAAAGX9upc=")</f>
        <v>#REF!</v>
      </c>
      <c r="EW106" t="e">
        <f>AND(#REF!,"AAAAAGX9upg=")</f>
        <v>#REF!</v>
      </c>
      <c r="EX106" t="e">
        <f>AND(#REF!,"AAAAAGX9upk=")</f>
        <v>#REF!</v>
      </c>
      <c r="EY106" t="e">
        <f>AND(#REF!,"AAAAAGX9upo=")</f>
        <v>#REF!</v>
      </c>
      <c r="EZ106" t="e">
        <f>AND(#REF!,"AAAAAGX9ups=")</f>
        <v>#REF!</v>
      </c>
      <c r="FA106" t="e">
        <f>AND(#REF!,"AAAAAGX9upw=")</f>
        <v>#REF!</v>
      </c>
      <c r="FB106" t="e">
        <f>IF(#REF!,"AAAAAGX9up0=",0)</f>
        <v>#REF!</v>
      </c>
      <c r="FC106" t="e">
        <f>AND(#REF!,"AAAAAGX9up4=")</f>
        <v>#REF!</v>
      </c>
      <c r="FD106" t="e">
        <f>AND(#REF!,"AAAAAGX9up8=")</f>
        <v>#REF!</v>
      </c>
      <c r="FE106" t="e">
        <f>AND(#REF!,"AAAAAGX9uqA=")</f>
        <v>#REF!</v>
      </c>
      <c r="FF106" t="e">
        <f>AND(#REF!,"AAAAAGX9uqE=")</f>
        <v>#REF!</v>
      </c>
      <c r="FG106" t="e">
        <f>AND(#REF!,"AAAAAGX9uqI=")</f>
        <v>#REF!</v>
      </c>
      <c r="FH106" t="e">
        <f>AND(#REF!,"AAAAAGX9uqM=")</f>
        <v>#REF!</v>
      </c>
      <c r="FI106" t="e">
        <f>AND(#REF!,"AAAAAGX9uqQ=")</f>
        <v>#REF!</v>
      </c>
      <c r="FJ106" t="e">
        <f>AND(#REF!,"AAAAAGX9uqU=")</f>
        <v>#REF!</v>
      </c>
      <c r="FK106" t="e">
        <f>AND(#REF!,"AAAAAGX9uqY=")</f>
        <v>#REF!</v>
      </c>
      <c r="FL106" t="e">
        <f>AND(#REF!,"AAAAAGX9uqc=")</f>
        <v>#REF!</v>
      </c>
      <c r="FM106" t="e">
        <f>AND(#REF!,"AAAAAGX9uqg=")</f>
        <v>#REF!</v>
      </c>
      <c r="FN106" t="e">
        <f>AND(#REF!,"AAAAAGX9uqk=")</f>
        <v>#REF!</v>
      </c>
      <c r="FO106" t="e">
        <f>AND(#REF!,"AAAAAGX9uqo=")</f>
        <v>#REF!</v>
      </c>
      <c r="FP106" t="e">
        <f>AND(#REF!,"AAAAAGX9uqs=")</f>
        <v>#REF!</v>
      </c>
      <c r="FQ106" t="e">
        <f>AND(#REF!,"AAAAAGX9uqw=")</f>
        <v>#REF!</v>
      </c>
      <c r="FR106" t="e">
        <f>AND(#REF!,"AAAAAGX9uq0=")</f>
        <v>#REF!</v>
      </c>
      <c r="FS106" t="e">
        <f>AND(#REF!,"AAAAAGX9uq4=")</f>
        <v>#REF!</v>
      </c>
      <c r="FT106" t="e">
        <f>AND(#REF!,"AAAAAGX9uq8=")</f>
        <v>#REF!</v>
      </c>
      <c r="FU106" t="e">
        <f>AND(#REF!,"AAAAAGX9urA=")</f>
        <v>#REF!</v>
      </c>
      <c r="FV106" t="e">
        <f>AND(#REF!,"AAAAAGX9urE=")</f>
        <v>#REF!</v>
      </c>
      <c r="FW106" t="e">
        <f>AND(#REF!,"AAAAAGX9urI=")</f>
        <v>#REF!</v>
      </c>
      <c r="FX106" t="e">
        <f>AND(#REF!,"AAAAAGX9urM=")</f>
        <v>#REF!</v>
      </c>
      <c r="FY106" t="e">
        <f>AND(#REF!,"AAAAAGX9urQ=")</f>
        <v>#REF!</v>
      </c>
      <c r="FZ106" t="e">
        <f>AND(#REF!,"AAAAAGX9urU=")</f>
        <v>#REF!</v>
      </c>
      <c r="GA106" t="e">
        <f>AND(#REF!,"AAAAAGX9urY=")</f>
        <v>#REF!</v>
      </c>
      <c r="GB106" t="e">
        <f>AND(#REF!,"AAAAAGX9urc=")</f>
        <v>#REF!</v>
      </c>
      <c r="GC106" t="e">
        <f>IF(#REF!,"AAAAAGX9urg=",0)</f>
        <v>#REF!</v>
      </c>
      <c r="GD106" t="e">
        <f>AND(#REF!,"AAAAAGX9urk=")</f>
        <v>#REF!</v>
      </c>
      <c r="GE106" t="e">
        <f>AND(#REF!,"AAAAAGX9uro=")</f>
        <v>#REF!</v>
      </c>
      <c r="GF106" t="e">
        <f>AND(#REF!,"AAAAAGX9urs=")</f>
        <v>#REF!</v>
      </c>
      <c r="GG106" t="e">
        <f>AND(#REF!,"AAAAAGX9urw=")</f>
        <v>#REF!</v>
      </c>
      <c r="GH106" t="e">
        <f>AND(#REF!,"AAAAAGX9ur0=")</f>
        <v>#REF!</v>
      </c>
      <c r="GI106" t="e">
        <f>AND(#REF!,"AAAAAGX9ur4=")</f>
        <v>#REF!</v>
      </c>
      <c r="GJ106" t="e">
        <f>AND(#REF!,"AAAAAGX9ur8=")</f>
        <v>#REF!</v>
      </c>
      <c r="GK106" t="e">
        <f>AND(#REF!,"AAAAAGX9usA=")</f>
        <v>#REF!</v>
      </c>
      <c r="GL106" t="e">
        <f>AND(#REF!,"AAAAAGX9usE=")</f>
        <v>#REF!</v>
      </c>
      <c r="GM106" t="e">
        <f>AND(#REF!,"AAAAAGX9usI=")</f>
        <v>#REF!</v>
      </c>
      <c r="GN106" t="e">
        <f>AND(#REF!,"AAAAAGX9usM=")</f>
        <v>#REF!</v>
      </c>
      <c r="GO106" t="e">
        <f>AND(#REF!,"AAAAAGX9usQ=")</f>
        <v>#REF!</v>
      </c>
      <c r="GP106" t="e">
        <f>AND(#REF!,"AAAAAGX9usU=")</f>
        <v>#REF!</v>
      </c>
      <c r="GQ106" t="e">
        <f>AND(#REF!,"AAAAAGX9usY=")</f>
        <v>#REF!</v>
      </c>
      <c r="GR106" t="e">
        <f>AND(#REF!,"AAAAAGX9usc=")</f>
        <v>#REF!</v>
      </c>
      <c r="GS106" t="e">
        <f>AND(#REF!,"AAAAAGX9usg=")</f>
        <v>#REF!</v>
      </c>
      <c r="GT106" t="e">
        <f>AND(#REF!,"AAAAAGX9usk=")</f>
        <v>#REF!</v>
      </c>
      <c r="GU106" t="e">
        <f>AND(#REF!,"AAAAAGX9uso=")</f>
        <v>#REF!</v>
      </c>
      <c r="GV106" t="e">
        <f>AND(#REF!,"AAAAAGX9uss=")</f>
        <v>#REF!</v>
      </c>
      <c r="GW106" t="e">
        <f>AND(#REF!,"AAAAAGX9usw=")</f>
        <v>#REF!</v>
      </c>
      <c r="GX106" t="e">
        <f>AND(#REF!,"AAAAAGX9us0=")</f>
        <v>#REF!</v>
      </c>
      <c r="GY106" t="e">
        <f>AND(#REF!,"AAAAAGX9us4=")</f>
        <v>#REF!</v>
      </c>
      <c r="GZ106" t="e">
        <f>AND(#REF!,"AAAAAGX9us8=")</f>
        <v>#REF!</v>
      </c>
      <c r="HA106" t="e">
        <f>AND(#REF!,"AAAAAGX9utA=")</f>
        <v>#REF!</v>
      </c>
      <c r="HB106" t="e">
        <f>AND(#REF!,"AAAAAGX9utE=")</f>
        <v>#REF!</v>
      </c>
      <c r="HC106" t="e">
        <f>AND(#REF!,"AAAAAGX9utI=")</f>
        <v>#REF!</v>
      </c>
      <c r="HD106" t="e">
        <f>IF(#REF!,"AAAAAGX9utM=",0)</f>
        <v>#REF!</v>
      </c>
      <c r="HE106" t="e">
        <f>AND(#REF!,"AAAAAGX9utQ=")</f>
        <v>#REF!</v>
      </c>
      <c r="HF106" t="e">
        <f>AND(#REF!,"AAAAAGX9utU=")</f>
        <v>#REF!</v>
      </c>
      <c r="HG106" t="e">
        <f>AND(#REF!,"AAAAAGX9utY=")</f>
        <v>#REF!</v>
      </c>
      <c r="HH106" t="e">
        <f>AND(#REF!,"AAAAAGX9utc=")</f>
        <v>#REF!</v>
      </c>
      <c r="HI106" t="e">
        <f>AND(#REF!,"AAAAAGX9utg=")</f>
        <v>#REF!</v>
      </c>
      <c r="HJ106" t="e">
        <f>AND(#REF!,"AAAAAGX9utk=")</f>
        <v>#REF!</v>
      </c>
      <c r="HK106" t="e">
        <f>AND(#REF!,"AAAAAGX9uto=")</f>
        <v>#REF!</v>
      </c>
      <c r="HL106" t="e">
        <f>AND(#REF!,"AAAAAGX9uts=")</f>
        <v>#REF!</v>
      </c>
      <c r="HM106" t="e">
        <f>AND(#REF!,"AAAAAGX9utw=")</f>
        <v>#REF!</v>
      </c>
      <c r="HN106" t="e">
        <f>AND(#REF!,"AAAAAGX9ut0=")</f>
        <v>#REF!</v>
      </c>
      <c r="HO106" t="e">
        <f>AND(#REF!,"AAAAAGX9ut4=")</f>
        <v>#REF!</v>
      </c>
      <c r="HP106" t="e">
        <f>AND(#REF!,"AAAAAGX9ut8=")</f>
        <v>#REF!</v>
      </c>
      <c r="HQ106" t="e">
        <f>AND(#REF!,"AAAAAGX9uuA=")</f>
        <v>#REF!</v>
      </c>
      <c r="HR106" t="e">
        <f>AND(#REF!,"AAAAAGX9uuE=")</f>
        <v>#REF!</v>
      </c>
      <c r="HS106" t="e">
        <f>AND(#REF!,"AAAAAGX9uuI=")</f>
        <v>#REF!</v>
      </c>
      <c r="HT106" t="e">
        <f>AND(#REF!,"AAAAAGX9uuM=")</f>
        <v>#REF!</v>
      </c>
      <c r="HU106" t="e">
        <f>AND(#REF!,"AAAAAGX9uuQ=")</f>
        <v>#REF!</v>
      </c>
      <c r="HV106" t="e">
        <f>AND(#REF!,"AAAAAGX9uuU=")</f>
        <v>#REF!</v>
      </c>
      <c r="HW106" t="e">
        <f>AND(#REF!,"AAAAAGX9uuY=")</f>
        <v>#REF!</v>
      </c>
      <c r="HX106" t="e">
        <f>AND(#REF!,"AAAAAGX9uuc=")</f>
        <v>#REF!</v>
      </c>
      <c r="HY106" t="e">
        <f>AND(#REF!,"AAAAAGX9uug=")</f>
        <v>#REF!</v>
      </c>
      <c r="HZ106" t="e">
        <f>AND(#REF!,"AAAAAGX9uuk=")</f>
        <v>#REF!</v>
      </c>
      <c r="IA106" t="e">
        <f>AND(#REF!,"AAAAAGX9uuo=")</f>
        <v>#REF!</v>
      </c>
      <c r="IB106" t="e">
        <f>AND(#REF!,"AAAAAGX9uus=")</f>
        <v>#REF!</v>
      </c>
      <c r="IC106" t="e">
        <f>AND(#REF!,"AAAAAGX9uuw=")</f>
        <v>#REF!</v>
      </c>
      <c r="ID106" t="e">
        <f>AND(#REF!,"AAAAAGX9uu0=")</f>
        <v>#REF!</v>
      </c>
      <c r="IE106" t="e">
        <f>IF(#REF!,"AAAAAGX9uu4=",0)</f>
        <v>#REF!</v>
      </c>
      <c r="IF106" t="e">
        <f>AND(#REF!,"AAAAAGX9uu8=")</f>
        <v>#REF!</v>
      </c>
      <c r="IG106" t="e">
        <f>AND(#REF!,"AAAAAGX9uvA=")</f>
        <v>#REF!</v>
      </c>
      <c r="IH106" t="e">
        <f>AND(#REF!,"AAAAAGX9uvE=")</f>
        <v>#REF!</v>
      </c>
      <c r="II106" t="e">
        <f>AND(#REF!,"AAAAAGX9uvI=")</f>
        <v>#REF!</v>
      </c>
      <c r="IJ106" t="e">
        <f>AND(#REF!,"AAAAAGX9uvM=")</f>
        <v>#REF!</v>
      </c>
      <c r="IK106" t="e">
        <f>AND(#REF!,"AAAAAGX9uvQ=")</f>
        <v>#REF!</v>
      </c>
      <c r="IL106" t="e">
        <f>AND(#REF!,"AAAAAGX9uvU=")</f>
        <v>#REF!</v>
      </c>
      <c r="IM106" t="e">
        <f>AND(#REF!,"AAAAAGX9uvY=")</f>
        <v>#REF!</v>
      </c>
      <c r="IN106" t="e">
        <f>AND(#REF!,"AAAAAGX9uvc=")</f>
        <v>#REF!</v>
      </c>
      <c r="IO106" t="e">
        <f>AND(#REF!,"AAAAAGX9uvg=")</f>
        <v>#REF!</v>
      </c>
      <c r="IP106" t="e">
        <f>AND(#REF!,"AAAAAGX9uvk=")</f>
        <v>#REF!</v>
      </c>
      <c r="IQ106" t="e">
        <f>AND(#REF!,"AAAAAGX9uvo=")</f>
        <v>#REF!</v>
      </c>
      <c r="IR106" t="e">
        <f>AND(#REF!,"AAAAAGX9uvs=")</f>
        <v>#REF!</v>
      </c>
      <c r="IS106" t="e">
        <f>AND(#REF!,"AAAAAGX9uvw=")</f>
        <v>#REF!</v>
      </c>
      <c r="IT106" t="e">
        <f>AND(#REF!,"AAAAAGX9uv0=")</f>
        <v>#REF!</v>
      </c>
      <c r="IU106" t="e">
        <f>AND(#REF!,"AAAAAGX9uv4=")</f>
        <v>#REF!</v>
      </c>
      <c r="IV106" t="e">
        <f>AND(#REF!,"AAAAAGX9uv8=")</f>
        <v>#REF!</v>
      </c>
    </row>
    <row r="107" spans="1:256" x14ac:dyDescent="0.2">
      <c r="A107" t="e">
        <f>AND(#REF!,"AAAAAF1k7wA=")</f>
        <v>#REF!</v>
      </c>
      <c r="B107" t="e">
        <f>AND(#REF!,"AAAAAF1k7wE=")</f>
        <v>#REF!</v>
      </c>
      <c r="C107" t="e">
        <f>AND(#REF!,"AAAAAF1k7wI=")</f>
        <v>#REF!</v>
      </c>
      <c r="D107" t="e">
        <f>AND(#REF!,"AAAAAF1k7wM=")</f>
        <v>#REF!</v>
      </c>
      <c r="E107" t="e">
        <f>AND(#REF!,"AAAAAF1k7wQ=")</f>
        <v>#REF!</v>
      </c>
      <c r="F107" t="e">
        <f>AND(#REF!,"AAAAAF1k7wU=")</f>
        <v>#REF!</v>
      </c>
      <c r="G107" t="e">
        <f>AND(#REF!,"AAAAAF1k7wY=")</f>
        <v>#REF!</v>
      </c>
      <c r="H107" t="e">
        <f>AND(#REF!,"AAAAAF1k7wc=")</f>
        <v>#REF!</v>
      </c>
      <c r="I107" t="e">
        <f>AND(#REF!,"AAAAAF1k7wg=")</f>
        <v>#REF!</v>
      </c>
      <c r="J107" t="e">
        <f>IF(#REF!,"AAAAAF1k7wk=",0)</f>
        <v>#REF!</v>
      </c>
      <c r="K107" t="e">
        <f>AND(#REF!,"AAAAAF1k7wo=")</f>
        <v>#REF!</v>
      </c>
      <c r="L107" t="e">
        <f>AND(#REF!,"AAAAAF1k7ws=")</f>
        <v>#REF!</v>
      </c>
      <c r="M107" t="e">
        <f>AND(#REF!,"AAAAAF1k7ww=")</f>
        <v>#REF!</v>
      </c>
      <c r="N107" t="e">
        <f>AND(#REF!,"AAAAAF1k7w0=")</f>
        <v>#REF!</v>
      </c>
      <c r="O107" t="e">
        <f>AND(#REF!,"AAAAAF1k7w4=")</f>
        <v>#REF!</v>
      </c>
      <c r="P107" t="e">
        <f>AND(#REF!,"AAAAAF1k7w8=")</f>
        <v>#REF!</v>
      </c>
      <c r="Q107" t="e">
        <f>AND(#REF!,"AAAAAF1k7xA=")</f>
        <v>#REF!</v>
      </c>
      <c r="R107" t="e">
        <f>AND(#REF!,"AAAAAF1k7xE=")</f>
        <v>#REF!</v>
      </c>
      <c r="S107" t="e">
        <f>AND(#REF!,"AAAAAF1k7xI=")</f>
        <v>#REF!</v>
      </c>
      <c r="T107" t="e">
        <f>AND(#REF!,"AAAAAF1k7xM=")</f>
        <v>#REF!</v>
      </c>
      <c r="U107" t="e">
        <f>AND(#REF!,"AAAAAF1k7xQ=")</f>
        <v>#REF!</v>
      </c>
      <c r="V107" t="e">
        <f>AND(#REF!,"AAAAAF1k7xU=")</f>
        <v>#REF!</v>
      </c>
      <c r="W107" t="e">
        <f>AND(#REF!,"AAAAAF1k7xY=")</f>
        <v>#REF!</v>
      </c>
      <c r="X107" t="e">
        <f>AND(#REF!,"AAAAAF1k7xc=")</f>
        <v>#REF!</v>
      </c>
      <c r="Y107" t="e">
        <f>AND(#REF!,"AAAAAF1k7xg=")</f>
        <v>#REF!</v>
      </c>
      <c r="Z107" t="e">
        <f>AND(#REF!,"AAAAAF1k7xk=")</f>
        <v>#REF!</v>
      </c>
      <c r="AA107" t="e">
        <f>AND(#REF!,"AAAAAF1k7xo=")</f>
        <v>#REF!</v>
      </c>
      <c r="AB107" t="e">
        <f>AND(#REF!,"AAAAAF1k7xs=")</f>
        <v>#REF!</v>
      </c>
      <c r="AC107" t="e">
        <f>AND(#REF!,"AAAAAF1k7xw=")</f>
        <v>#REF!</v>
      </c>
      <c r="AD107" t="e">
        <f>AND(#REF!,"AAAAAF1k7x0=")</f>
        <v>#REF!</v>
      </c>
      <c r="AE107" t="e">
        <f>AND(#REF!,"AAAAAF1k7x4=")</f>
        <v>#REF!</v>
      </c>
      <c r="AF107" t="e">
        <f>AND(#REF!,"AAAAAF1k7x8=")</f>
        <v>#REF!</v>
      </c>
      <c r="AG107" t="e">
        <f>AND(#REF!,"AAAAAF1k7yA=")</f>
        <v>#REF!</v>
      </c>
      <c r="AH107" t="e">
        <f>AND(#REF!,"AAAAAF1k7yE=")</f>
        <v>#REF!</v>
      </c>
      <c r="AI107" t="e">
        <f>AND(#REF!,"AAAAAF1k7yI=")</f>
        <v>#REF!</v>
      </c>
      <c r="AJ107" t="e">
        <f>AND(#REF!,"AAAAAF1k7yM=")</f>
        <v>#REF!</v>
      </c>
      <c r="AK107" t="e">
        <f>IF(#REF!,"AAAAAF1k7yQ=",0)</f>
        <v>#REF!</v>
      </c>
      <c r="AL107" t="e">
        <f>AND(#REF!,"AAAAAF1k7yU=")</f>
        <v>#REF!</v>
      </c>
      <c r="AM107" t="e">
        <f>AND(#REF!,"AAAAAF1k7yY=")</f>
        <v>#REF!</v>
      </c>
      <c r="AN107" t="e">
        <f>AND(#REF!,"AAAAAF1k7yc=")</f>
        <v>#REF!</v>
      </c>
      <c r="AO107" t="e">
        <f>AND(#REF!,"AAAAAF1k7yg=")</f>
        <v>#REF!</v>
      </c>
      <c r="AP107" t="e">
        <f>AND(#REF!,"AAAAAF1k7yk=")</f>
        <v>#REF!</v>
      </c>
      <c r="AQ107" t="e">
        <f>AND(#REF!,"AAAAAF1k7yo=")</f>
        <v>#REF!</v>
      </c>
      <c r="AR107" t="e">
        <f>AND(#REF!,"AAAAAF1k7ys=")</f>
        <v>#REF!</v>
      </c>
      <c r="AS107" t="e">
        <f>AND(#REF!,"AAAAAF1k7yw=")</f>
        <v>#REF!</v>
      </c>
      <c r="AT107" t="e">
        <f>AND(#REF!,"AAAAAF1k7y0=")</f>
        <v>#REF!</v>
      </c>
      <c r="AU107" t="e">
        <f>AND(#REF!,"AAAAAF1k7y4=")</f>
        <v>#REF!</v>
      </c>
      <c r="AV107" t="e">
        <f>AND(#REF!,"AAAAAF1k7y8=")</f>
        <v>#REF!</v>
      </c>
      <c r="AW107" t="e">
        <f>AND(#REF!,"AAAAAF1k7zA=")</f>
        <v>#REF!</v>
      </c>
      <c r="AX107" t="e">
        <f>AND(#REF!,"AAAAAF1k7zE=")</f>
        <v>#REF!</v>
      </c>
      <c r="AY107" t="e">
        <f>AND(#REF!,"AAAAAF1k7zI=")</f>
        <v>#REF!</v>
      </c>
      <c r="AZ107" t="e">
        <f>AND(#REF!,"AAAAAF1k7zM=")</f>
        <v>#REF!</v>
      </c>
      <c r="BA107" t="e">
        <f>AND(#REF!,"AAAAAF1k7zQ=")</f>
        <v>#REF!</v>
      </c>
      <c r="BB107" t="e">
        <f>AND(#REF!,"AAAAAF1k7zU=")</f>
        <v>#REF!</v>
      </c>
      <c r="BC107" t="e">
        <f>AND(#REF!,"AAAAAF1k7zY=")</f>
        <v>#REF!</v>
      </c>
      <c r="BD107" t="e">
        <f>AND(#REF!,"AAAAAF1k7zc=")</f>
        <v>#REF!</v>
      </c>
      <c r="BE107" t="e">
        <f>AND(#REF!,"AAAAAF1k7zg=")</f>
        <v>#REF!</v>
      </c>
      <c r="BF107" t="e">
        <f>AND(#REF!,"AAAAAF1k7zk=")</f>
        <v>#REF!</v>
      </c>
      <c r="BG107" t="e">
        <f>AND(#REF!,"AAAAAF1k7zo=")</f>
        <v>#REF!</v>
      </c>
      <c r="BH107" t="e">
        <f>AND(#REF!,"AAAAAF1k7zs=")</f>
        <v>#REF!</v>
      </c>
      <c r="BI107" t="e">
        <f>AND(#REF!,"AAAAAF1k7zw=")</f>
        <v>#REF!</v>
      </c>
      <c r="BJ107" t="e">
        <f>AND(#REF!,"AAAAAF1k7z0=")</f>
        <v>#REF!</v>
      </c>
      <c r="BK107" t="e">
        <f>AND(#REF!,"AAAAAF1k7z4=")</f>
        <v>#REF!</v>
      </c>
      <c r="BL107" t="e">
        <f>IF(#REF!,"AAAAAF1k7z8=",0)</f>
        <v>#REF!</v>
      </c>
      <c r="BM107" t="e">
        <f>AND(#REF!,"AAAAAF1k70A=")</f>
        <v>#REF!</v>
      </c>
      <c r="BN107" t="e">
        <f>AND(#REF!,"AAAAAF1k70E=")</f>
        <v>#REF!</v>
      </c>
      <c r="BO107" t="e">
        <f>AND(#REF!,"AAAAAF1k70I=")</f>
        <v>#REF!</v>
      </c>
      <c r="BP107" t="e">
        <f>AND(#REF!,"AAAAAF1k70M=")</f>
        <v>#REF!</v>
      </c>
      <c r="BQ107" t="e">
        <f>AND(#REF!,"AAAAAF1k70Q=")</f>
        <v>#REF!</v>
      </c>
      <c r="BR107" t="e">
        <f>AND(#REF!,"AAAAAF1k70U=")</f>
        <v>#REF!</v>
      </c>
      <c r="BS107" t="e">
        <f>AND(#REF!,"AAAAAF1k70Y=")</f>
        <v>#REF!</v>
      </c>
      <c r="BT107" t="e">
        <f>AND(#REF!,"AAAAAF1k70c=")</f>
        <v>#REF!</v>
      </c>
      <c r="BU107" t="e">
        <f>AND(#REF!,"AAAAAF1k70g=")</f>
        <v>#REF!</v>
      </c>
      <c r="BV107" t="e">
        <f>AND(#REF!,"AAAAAF1k70k=")</f>
        <v>#REF!</v>
      </c>
      <c r="BW107" t="e">
        <f>AND(#REF!,"AAAAAF1k70o=")</f>
        <v>#REF!</v>
      </c>
      <c r="BX107" t="e">
        <f>AND(#REF!,"AAAAAF1k70s=")</f>
        <v>#REF!</v>
      </c>
      <c r="BY107" t="e">
        <f>AND(#REF!,"AAAAAF1k70w=")</f>
        <v>#REF!</v>
      </c>
      <c r="BZ107" t="e">
        <f>AND(#REF!,"AAAAAF1k700=")</f>
        <v>#REF!</v>
      </c>
      <c r="CA107" t="e">
        <f>AND(#REF!,"AAAAAF1k704=")</f>
        <v>#REF!</v>
      </c>
      <c r="CB107" t="e">
        <f>AND(#REF!,"AAAAAF1k708=")</f>
        <v>#REF!</v>
      </c>
      <c r="CC107" t="e">
        <f>AND(#REF!,"AAAAAF1k71A=")</f>
        <v>#REF!</v>
      </c>
      <c r="CD107" t="e">
        <f>AND(#REF!,"AAAAAF1k71E=")</f>
        <v>#REF!</v>
      </c>
      <c r="CE107" t="e">
        <f>AND(#REF!,"AAAAAF1k71I=")</f>
        <v>#REF!</v>
      </c>
      <c r="CF107" t="e">
        <f>AND(#REF!,"AAAAAF1k71M=")</f>
        <v>#REF!</v>
      </c>
      <c r="CG107" t="e">
        <f>AND(#REF!,"AAAAAF1k71Q=")</f>
        <v>#REF!</v>
      </c>
      <c r="CH107" t="e">
        <f>AND(#REF!,"AAAAAF1k71U=")</f>
        <v>#REF!</v>
      </c>
      <c r="CI107" t="e">
        <f>AND(#REF!,"AAAAAF1k71Y=")</f>
        <v>#REF!</v>
      </c>
      <c r="CJ107" t="e">
        <f>AND(#REF!,"AAAAAF1k71c=")</f>
        <v>#REF!</v>
      </c>
      <c r="CK107" t="e">
        <f>AND(#REF!,"AAAAAF1k71g=")</f>
        <v>#REF!</v>
      </c>
      <c r="CL107" t="e">
        <f>AND(#REF!,"AAAAAF1k71k=")</f>
        <v>#REF!</v>
      </c>
      <c r="CM107" t="e">
        <f>IF(#REF!,"AAAAAF1k71o=",0)</f>
        <v>#REF!</v>
      </c>
      <c r="CN107" t="e">
        <f>AND(#REF!,"AAAAAF1k71s=")</f>
        <v>#REF!</v>
      </c>
      <c r="CO107" t="e">
        <f>AND(#REF!,"AAAAAF1k71w=")</f>
        <v>#REF!</v>
      </c>
      <c r="CP107" t="e">
        <f>AND(#REF!,"AAAAAF1k710=")</f>
        <v>#REF!</v>
      </c>
      <c r="CQ107" t="e">
        <f>AND(#REF!,"AAAAAF1k714=")</f>
        <v>#REF!</v>
      </c>
      <c r="CR107" t="e">
        <f>AND(#REF!,"AAAAAF1k718=")</f>
        <v>#REF!</v>
      </c>
      <c r="CS107" t="e">
        <f>AND(#REF!,"AAAAAF1k72A=")</f>
        <v>#REF!</v>
      </c>
      <c r="CT107" t="e">
        <f>AND(#REF!,"AAAAAF1k72E=")</f>
        <v>#REF!</v>
      </c>
      <c r="CU107" t="e">
        <f>AND(#REF!,"AAAAAF1k72I=")</f>
        <v>#REF!</v>
      </c>
      <c r="CV107" t="e">
        <f>AND(#REF!,"AAAAAF1k72M=")</f>
        <v>#REF!</v>
      </c>
      <c r="CW107" t="e">
        <f>AND(#REF!,"AAAAAF1k72Q=")</f>
        <v>#REF!</v>
      </c>
      <c r="CX107" t="e">
        <f>AND(#REF!,"AAAAAF1k72U=")</f>
        <v>#REF!</v>
      </c>
      <c r="CY107" t="e">
        <f>AND(#REF!,"AAAAAF1k72Y=")</f>
        <v>#REF!</v>
      </c>
      <c r="CZ107" t="e">
        <f>AND(#REF!,"AAAAAF1k72c=")</f>
        <v>#REF!</v>
      </c>
      <c r="DA107" t="e">
        <f>AND(#REF!,"AAAAAF1k72g=")</f>
        <v>#REF!</v>
      </c>
      <c r="DB107" t="e">
        <f>AND(#REF!,"AAAAAF1k72k=")</f>
        <v>#REF!</v>
      </c>
      <c r="DC107" t="e">
        <f>AND(#REF!,"AAAAAF1k72o=")</f>
        <v>#REF!</v>
      </c>
      <c r="DD107" t="e">
        <f>AND(#REF!,"AAAAAF1k72s=")</f>
        <v>#REF!</v>
      </c>
      <c r="DE107" t="e">
        <f>AND(#REF!,"AAAAAF1k72w=")</f>
        <v>#REF!</v>
      </c>
      <c r="DF107" t="e">
        <f>AND(#REF!,"AAAAAF1k720=")</f>
        <v>#REF!</v>
      </c>
      <c r="DG107" t="e">
        <f>AND(#REF!,"AAAAAF1k724=")</f>
        <v>#REF!</v>
      </c>
      <c r="DH107" t="e">
        <f>AND(#REF!,"AAAAAF1k728=")</f>
        <v>#REF!</v>
      </c>
      <c r="DI107" t="e">
        <f>AND(#REF!,"AAAAAF1k73A=")</f>
        <v>#REF!</v>
      </c>
      <c r="DJ107" t="e">
        <f>AND(#REF!,"AAAAAF1k73E=")</f>
        <v>#REF!</v>
      </c>
      <c r="DK107" t="e">
        <f>AND(#REF!,"AAAAAF1k73I=")</f>
        <v>#REF!</v>
      </c>
      <c r="DL107" t="e">
        <f>AND(#REF!,"AAAAAF1k73M=")</f>
        <v>#REF!</v>
      </c>
      <c r="DM107" t="e">
        <f>AND(#REF!,"AAAAAF1k73Q=")</f>
        <v>#REF!</v>
      </c>
      <c r="DN107" t="e">
        <f>IF(#REF!,"AAAAAF1k73U=",0)</f>
        <v>#REF!</v>
      </c>
      <c r="DO107" t="e">
        <f>AND(#REF!,"AAAAAF1k73Y=")</f>
        <v>#REF!</v>
      </c>
      <c r="DP107" t="e">
        <f>AND(#REF!,"AAAAAF1k73c=")</f>
        <v>#REF!</v>
      </c>
      <c r="DQ107" t="e">
        <f>AND(#REF!,"AAAAAF1k73g=")</f>
        <v>#REF!</v>
      </c>
      <c r="DR107" t="e">
        <f>AND(#REF!,"AAAAAF1k73k=")</f>
        <v>#REF!</v>
      </c>
      <c r="DS107" t="e">
        <f>AND(#REF!,"AAAAAF1k73o=")</f>
        <v>#REF!</v>
      </c>
      <c r="DT107" t="e">
        <f>AND(#REF!,"AAAAAF1k73s=")</f>
        <v>#REF!</v>
      </c>
      <c r="DU107" t="e">
        <f>AND(#REF!,"AAAAAF1k73w=")</f>
        <v>#REF!</v>
      </c>
      <c r="DV107" t="e">
        <f>AND(#REF!,"AAAAAF1k730=")</f>
        <v>#REF!</v>
      </c>
      <c r="DW107" t="e">
        <f>AND(#REF!,"AAAAAF1k734=")</f>
        <v>#REF!</v>
      </c>
      <c r="DX107" t="e">
        <f>AND(#REF!,"AAAAAF1k738=")</f>
        <v>#REF!</v>
      </c>
      <c r="DY107" t="e">
        <f>AND(#REF!,"AAAAAF1k74A=")</f>
        <v>#REF!</v>
      </c>
      <c r="DZ107" t="e">
        <f>AND(#REF!,"AAAAAF1k74E=")</f>
        <v>#REF!</v>
      </c>
      <c r="EA107" t="e">
        <f>AND(#REF!,"AAAAAF1k74I=")</f>
        <v>#REF!</v>
      </c>
      <c r="EB107" t="e">
        <f>AND(#REF!,"AAAAAF1k74M=")</f>
        <v>#REF!</v>
      </c>
      <c r="EC107" t="e">
        <f>AND(#REF!,"AAAAAF1k74Q=")</f>
        <v>#REF!</v>
      </c>
      <c r="ED107" t="e">
        <f>AND(#REF!,"AAAAAF1k74U=")</f>
        <v>#REF!</v>
      </c>
      <c r="EE107" t="e">
        <f>AND(#REF!,"AAAAAF1k74Y=")</f>
        <v>#REF!</v>
      </c>
      <c r="EF107" t="e">
        <f>AND(#REF!,"AAAAAF1k74c=")</f>
        <v>#REF!</v>
      </c>
      <c r="EG107" t="e">
        <f>AND(#REF!,"AAAAAF1k74g=")</f>
        <v>#REF!</v>
      </c>
      <c r="EH107" t="e">
        <f>AND(#REF!,"AAAAAF1k74k=")</f>
        <v>#REF!</v>
      </c>
      <c r="EI107" t="e">
        <f>AND(#REF!,"AAAAAF1k74o=")</f>
        <v>#REF!</v>
      </c>
      <c r="EJ107" t="e">
        <f>AND(#REF!,"AAAAAF1k74s=")</f>
        <v>#REF!</v>
      </c>
      <c r="EK107" t="e">
        <f>AND(#REF!,"AAAAAF1k74w=")</f>
        <v>#REF!</v>
      </c>
      <c r="EL107" t="e">
        <f>AND(#REF!,"AAAAAF1k740=")</f>
        <v>#REF!</v>
      </c>
      <c r="EM107" t="e">
        <f>AND(#REF!,"AAAAAF1k744=")</f>
        <v>#REF!</v>
      </c>
      <c r="EN107" t="e">
        <f>AND(#REF!,"AAAAAF1k748=")</f>
        <v>#REF!</v>
      </c>
      <c r="EO107" t="e">
        <f>IF(#REF!,"AAAAAF1k75A=",0)</f>
        <v>#REF!</v>
      </c>
      <c r="EP107" t="e">
        <f>AND(#REF!,"AAAAAF1k75E=")</f>
        <v>#REF!</v>
      </c>
      <c r="EQ107" t="e">
        <f>AND(#REF!,"AAAAAF1k75I=")</f>
        <v>#REF!</v>
      </c>
      <c r="ER107" t="e">
        <f>AND(#REF!,"AAAAAF1k75M=")</f>
        <v>#REF!</v>
      </c>
      <c r="ES107" t="e">
        <f>AND(#REF!,"AAAAAF1k75Q=")</f>
        <v>#REF!</v>
      </c>
      <c r="ET107" t="e">
        <f>AND(#REF!,"AAAAAF1k75U=")</f>
        <v>#REF!</v>
      </c>
      <c r="EU107" t="e">
        <f>AND(#REF!,"AAAAAF1k75Y=")</f>
        <v>#REF!</v>
      </c>
      <c r="EV107" t="e">
        <f>AND(#REF!,"AAAAAF1k75c=")</f>
        <v>#REF!</v>
      </c>
      <c r="EW107" t="e">
        <f>AND(#REF!,"AAAAAF1k75g=")</f>
        <v>#REF!</v>
      </c>
      <c r="EX107" t="e">
        <f>AND(#REF!,"AAAAAF1k75k=")</f>
        <v>#REF!</v>
      </c>
      <c r="EY107" t="e">
        <f>AND(#REF!,"AAAAAF1k75o=")</f>
        <v>#REF!</v>
      </c>
      <c r="EZ107" t="e">
        <f>AND(#REF!,"AAAAAF1k75s=")</f>
        <v>#REF!</v>
      </c>
      <c r="FA107" t="e">
        <f>AND(#REF!,"AAAAAF1k75w=")</f>
        <v>#REF!</v>
      </c>
      <c r="FB107" t="e">
        <f>AND(#REF!,"AAAAAF1k750=")</f>
        <v>#REF!</v>
      </c>
      <c r="FC107" t="e">
        <f>AND(#REF!,"AAAAAF1k754=")</f>
        <v>#REF!</v>
      </c>
      <c r="FD107" t="e">
        <f>AND(#REF!,"AAAAAF1k758=")</f>
        <v>#REF!</v>
      </c>
      <c r="FE107" t="e">
        <f>AND(#REF!,"AAAAAF1k76A=")</f>
        <v>#REF!</v>
      </c>
      <c r="FF107" t="e">
        <f>AND(#REF!,"AAAAAF1k76E=")</f>
        <v>#REF!</v>
      </c>
      <c r="FG107" t="e">
        <f>AND(#REF!,"AAAAAF1k76I=")</f>
        <v>#REF!</v>
      </c>
      <c r="FH107" t="e">
        <f>AND(#REF!,"AAAAAF1k76M=")</f>
        <v>#REF!</v>
      </c>
      <c r="FI107" t="e">
        <f>AND(#REF!,"AAAAAF1k76Q=")</f>
        <v>#REF!</v>
      </c>
      <c r="FJ107" t="e">
        <f>AND(#REF!,"AAAAAF1k76U=")</f>
        <v>#REF!</v>
      </c>
      <c r="FK107" t="e">
        <f>AND(#REF!,"AAAAAF1k76Y=")</f>
        <v>#REF!</v>
      </c>
      <c r="FL107" t="e">
        <f>AND(#REF!,"AAAAAF1k76c=")</f>
        <v>#REF!</v>
      </c>
      <c r="FM107" t="e">
        <f>AND(#REF!,"AAAAAF1k76g=")</f>
        <v>#REF!</v>
      </c>
      <c r="FN107" t="e">
        <f>AND(#REF!,"AAAAAF1k76k=")</f>
        <v>#REF!</v>
      </c>
      <c r="FO107" t="e">
        <f>AND(#REF!,"AAAAAF1k76o=")</f>
        <v>#REF!</v>
      </c>
      <c r="FP107" t="e">
        <f>IF(#REF!,"AAAAAF1k76s=",0)</f>
        <v>#REF!</v>
      </c>
      <c r="FQ107" t="e">
        <f>AND(#REF!,"AAAAAF1k76w=")</f>
        <v>#REF!</v>
      </c>
      <c r="FR107" t="e">
        <f>AND(#REF!,"AAAAAF1k760=")</f>
        <v>#REF!</v>
      </c>
      <c r="FS107" t="e">
        <f>AND(#REF!,"AAAAAF1k764=")</f>
        <v>#REF!</v>
      </c>
      <c r="FT107" t="e">
        <f>AND(#REF!,"AAAAAF1k768=")</f>
        <v>#REF!</v>
      </c>
      <c r="FU107" t="e">
        <f>AND(#REF!,"AAAAAF1k77A=")</f>
        <v>#REF!</v>
      </c>
      <c r="FV107" t="e">
        <f>AND(#REF!,"AAAAAF1k77E=")</f>
        <v>#REF!</v>
      </c>
      <c r="FW107" t="e">
        <f>AND(#REF!,"AAAAAF1k77I=")</f>
        <v>#REF!</v>
      </c>
      <c r="FX107" t="e">
        <f>AND(#REF!,"AAAAAF1k77M=")</f>
        <v>#REF!</v>
      </c>
      <c r="FY107" t="e">
        <f>AND(#REF!,"AAAAAF1k77Q=")</f>
        <v>#REF!</v>
      </c>
      <c r="FZ107" t="e">
        <f>AND(#REF!,"AAAAAF1k77U=")</f>
        <v>#REF!</v>
      </c>
      <c r="GA107" t="e">
        <f>AND(#REF!,"AAAAAF1k77Y=")</f>
        <v>#REF!</v>
      </c>
      <c r="GB107" t="e">
        <f>AND(#REF!,"AAAAAF1k77c=")</f>
        <v>#REF!</v>
      </c>
      <c r="GC107" t="e">
        <f>AND(#REF!,"AAAAAF1k77g=")</f>
        <v>#REF!</v>
      </c>
      <c r="GD107" t="e">
        <f>AND(#REF!,"AAAAAF1k77k=")</f>
        <v>#REF!</v>
      </c>
      <c r="GE107" t="e">
        <f>AND(#REF!,"AAAAAF1k77o=")</f>
        <v>#REF!</v>
      </c>
      <c r="GF107" t="e">
        <f>AND(#REF!,"AAAAAF1k77s=")</f>
        <v>#REF!</v>
      </c>
      <c r="GG107" t="e">
        <f>AND(#REF!,"AAAAAF1k77w=")</f>
        <v>#REF!</v>
      </c>
      <c r="GH107" t="e">
        <f>AND(#REF!,"AAAAAF1k770=")</f>
        <v>#REF!</v>
      </c>
      <c r="GI107" t="e">
        <f>AND(#REF!,"AAAAAF1k774=")</f>
        <v>#REF!</v>
      </c>
      <c r="GJ107" t="e">
        <f>AND(#REF!,"AAAAAF1k778=")</f>
        <v>#REF!</v>
      </c>
      <c r="GK107" t="e">
        <f>AND(#REF!,"AAAAAF1k78A=")</f>
        <v>#REF!</v>
      </c>
      <c r="GL107" t="e">
        <f>AND(#REF!,"AAAAAF1k78E=")</f>
        <v>#REF!</v>
      </c>
      <c r="GM107" t="e">
        <f>AND(#REF!,"AAAAAF1k78I=")</f>
        <v>#REF!</v>
      </c>
      <c r="GN107" t="e">
        <f>AND(#REF!,"AAAAAF1k78M=")</f>
        <v>#REF!</v>
      </c>
      <c r="GO107" t="e">
        <f>AND(#REF!,"AAAAAF1k78Q=")</f>
        <v>#REF!</v>
      </c>
      <c r="GP107" t="e">
        <f>AND(#REF!,"AAAAAF1k78U=")</f>
        <v>#REF!</v>
      </c>
      <c r="GQ107" t="e">
        <f>IF(#REF!,"AAAAAF1k78Y=",0)</f>
        <v>#REF!</v>
      </c>
      <c r="GR107" t="e">
        <f>AND(#REF!,"AAAAAF1k78c=")</f>
        <v>#REF!</v>
      </c>
      <c r="GS107" t="e">
        <f>AND(#REF!,"AAAAAF1k78g=")</f>
        <v>#REF!</v>
      </c>
      <c r="GT107" t="e">
        <f>AND(#REF!,"AAAAAF1k78k=")</f>
        <v>#REF!</v>
      </c>
      <c r="GU107" t="e">
        <f>AND(#REF!,"AAAAAF1k78o=")</f>
        <v>#REF!</v>
      </c>
      <c r="GV107" t="e">
        <f>AND(#REF!,"AAAAAF1k78s=")</f>
        <v>#REF!</v>
      </c>
      <c r="GW107" t="e">
        <f>AND(#REF!,"AAAAAF1k78w=")</f>
        <v>#REF!</v>
      </c>
      <c r="GX107" t="e">
        <f>AND(#REF!,"AAAAAF1k780=")</f>
        <v>#REF!</v>
      </c>
      <c r="GY107" t="e">
        <f>AND(#REF!,"AAAAAF1k784=")</f>
        <v>#REF!</v>
      </c>
      <c r="GZ107" t="e">
        <f>AND(#REF!,"AAAAAF1k788=")</f>
        <v>#REF!</v>
      </c>
      <c r="HA107" t="e">
        <f>AND(#REF!,"AAAAAF1k79A=")</f>
        <v>#REF!</v>
      </c>
      <c r="HB107" t="e">
        <f>AND(#REF!,"AAAAAF1k79E=")</f>
        <v>#REF!</v>
      </c>
      <c r="HC107" t="e">
        <f>AND(#REF!,"AAAAAF1k79I=")</f>
        <v>#REF!</v>
      </c>
      <c r="HD107" t="e">
        <f>AND(#REF!,"AAAAAF1k79M=")</f>
        <v>#REF!</v>
      </c>
      <c r="HE107" t="e">
        <f>AND(#REF!,"AAAAAF1k79Q=")</f>
        <v>#REF!</v>
      </c>
      <c r="HF107" t="e">
        <f>AND(#REF!,"AAAAAF1k79U=")</f>
        <v>#REF!</v>
      </c>
      <c r="HG107" t="e">
        <f>AND(#REF!,"AAAAAF1k79Y=")</f>
        <v>#REF!</v>
      </c>
      <c r="HH107" t="e">
        <f>AND(#REF!,"AAAAAF1k79c=")</f>
        <v>#REF!</v>
      </c>
      <c r="HI107" t="e">
        <f>AND(#REF!,"AAAAAF1k79g=")</f>
        <v>#REF!</v>
      </c>
      <c r="HJ107" t="e">
        <f>AND(#REF!,"AAAAAF1k79k=")</f>
        <v>#REF!</v>
      </c>
      <c r="HK107" t="e">
        <f>AND(#REF!,"AAAAAF1k79o=")</f>
        <v>#REF!</v>
      </c>
      <c r="HL107" t="e">
        <f>AND(#REF!,"AAAAAF1k79s=")</f>
        <v>#REF!</v>
      </c>
      <c r="HM107" t="e">
        <f>AND(#REF!,"AAAAAF1k79w=")</f>
        <v>#REF!</v>
      </c>
      <c r="HN107" t="e">
        <f>AND(#REF!,"AAAAAF1k790=")</f>
        <v>#REF!</v>
      </c>
      <c r="HO107" t="e">
        <f>AND(#REF!,"AAAAAF1k794=")</f>
        <v>#REF!</v>
      </c>
      <c r="HP107" t="e">
        <f>AND(#REF!,"AAAAAF1k798=")</f>
        <v>#REF!</v>
      </c>
      <c r="HQ107" t="e">
        <f>AND(#REF!,"AAAAAF1k7+A=")</f>
        <v>#REF!</v>
      </c>
      <c r="HR107" t="e">
        <f>IF(#REF!,"AAAAAF1k7+E=",0)</f>
        <v>#REF!</v>
      </c>
      <c r="HS107" t="e">
        <f>AND(#REF!,"AAAAAF1k7+I=")</f>
        <v>#REF!</v>
      </c>
      <c r="HT107" t="e">
        <f>AND(#REF!,"AAAAAF1k7+M=")</f>
        <v>#REF!</v>
      </c>
      <c r="HU107" t="e">
        <f>AND(#REF!,"AAAAAF1k7+Q=")</f>
        <v>#REF!</v>
      </c>
      <c r="HV107" t="e">
        <f>AND(#REF!,"AAAAAF1k7+U=")</f>
        <v>#REF!</v>
      </c>
      <c r="HW107" t="e">
        <f>AND(#REF!,"AAAAAF1k7+Y=")</f>
        <v>#REF!</v>
      </c>
      <c r="HX107" t="e">
        <f>AND(#REF!,"AAAAAF1k7+c=")</f>
        <v>#REF!</v>
      </c>
      <c r="HY107" t="e">
        <f>AND(#REF!,"AAAAAF1k7+g=")</f>
        <v>#REF!</v>
      </c>
      <c r="HZ107" t="e">
        <f>AND(#REF!,"AAAAAF1k7+k=")</f>
        <v>#REF!</v>
      </c>
      <c r="IA107" t="e">
        <f>AND(#REF!,"AAAAAF1k7+o=")</f>
        <v>#REF!</v>
      </c>
      <c r="IB107" t="e">
        <f>AND(#REF!,"AAAAAF1k7+s=")</f>
        <v>#REF!</v>
      </c>
      <c r="IC107" t="e">
        <f>AND(#REF!,"AAAAAF1k7+w=")</f>
        <v>#REF!</v>
      </c>
      <c r="ID107" t="e">
        <f>AND(#REF!,"AAAAAF1k7+0=")</f>
        <v>#REF!</v>
      </c>
      <c r="IE107" t="e">
        <f>AND(#REF!,"AAAAAF1k7+4=")</f>
        <v>#REF!</v>
      </c>
      <c r="IF107" t="e">
        <f>AND(#REF!,"AAAAAF1k7+8=")</f>
        <v>#REF!</v>
      </c>
      <c r="IG107" t="e">
        <f>AND(#REF!,"AAAAAF1k7/A=")</f>
        <v>#REF!</v>
      </c>
      <c r="IH107" t="e">
        <f>AND(#REF!,"AAAAAF1k7/E=")</f>
        <v>#REF!</v>
      </c>
      <c r="II107" t="e">
        <f>AND(#REF!,"AAAAAF1k7/I=")</f>
        <v>#REF!</v>
      </c>
      <c r="IJ107" t="e">
        <f>AND(#REF!,"AAAAAF1k7/M=")</f>
        <v>#REF!</v>
      </c>
      <c r="IK107" t="e">
        <f>AND(#REF!,"AAAAAF1k7/Q=")</f>
        <v>#REF!</v>
      </c>
      <c r="IL107" t="e">
        <f>AND(#REF!,"AAAAAF1k7/U=")</f>
        <v>#REF!</v>
      </c>
      <c r="IM107" t="e">
        <f>AND(#REF!,"AAAAAF1k7/Y=")</f>
        <v>#REF!</v>
      </c>
      <c r="IN107" t="e">
        <f>AND(#REF!,"AAAAAF1k7/c=")</f>
        <v>#REF!</v>
      </c>
      <c r="IO107" t="e">
        <f>AND(#REF!,"AAAAAF1k7/g=")</f>
        <v>#REF!</v>
      </c>
      <c r="IP107" t="e">
        <f>AND(#REF!,"AAAAAF1k7/k=")</f>
        <v>#REF!</v>
      </c>
      <c r="IQ107" t="e">
        <f>AND(#REF!,"AAAAAF1k7/o=")</f>
        <v>#REF!</v>
      </c>
      <c r="IR107" t="e">
        <f>AND(#REF!,"AAAAAF1k7/s=")</f>
        <v>#REF!</v>
      </c>
      <c r="IS107" t="e">
        <f>IF(#REF!,"AAAAAF1k7/w=",0)</f>
        <v>#REF!</v>
      </c>
      <c r="IT107" t="e">
        <f>AND(#REF!,"AAAAAF1k7/0=")</f>
        <v>#REF!</v>
      </c>
      <c r="IU107" t="e">
        <f>AND(#REF!,"AAAAAF1k7/4=")</f>
        <v>#REF!</v>
      </c>
      <c r="IV107" t="e">
        <f>AND(#REF!,"AAAAAF1k7/8=")</f>
        <v>#REF!</v>
      </c>
    </row>
    <row r="108" spans="1:256" x14ac:dyDescent="0.2">
      <c r="A108" t="e">
        <f>AND(#REF!,"AAAAAG+b1gA=")</f>
        <v>#REF!</v>
      </c>
      <c r="B108" t="e">
        <f>AND(#REF!,"AAAAAG+b1gE=")</f>
        <v>#REF!</v>
      </c>
      <c r="C108" t="e">
        <f>AND(#REF!,"AAAAAG+b1gI=")</f>
        <v>#REF!</v>
      </c>
      <c r="D108" t="e">
        <f>AND(#REF!,"AAAAAG+b1gM=")</f>
        <v>#REF!</v>
      </c>
      <c r="E108" t="e">
        <f>AND(#REF!,"AAAAAG+b1gQ=")</f>
        <v>#REF!</v>
      </c>
      <c r="F108" t="e">
        <f>AND(#REF!,"AAAAAG+b1gU=")</f>
        <v>#REF!</v>
      </c>
      <c r="G108" t="e">
        <f>AND(#REF!,"AAAAAG+b1gY=")</f>
        <v>#REF!</v>
      </c>
      <c r="H108" t="e">
        <f>AND(#REF!,"AAAAAG+b1gc=")</f>
        <v>#REF!</v>
      </c>
      <c r="I108" t="e">
        <f>AND(#REF!,"AAAAAG+b1gg=")</f>
        <v>#REF!</v>
      </c>
      <c r="J108" t="e">
        <f>AND(#REF!,"AAAAAG+b1gk=")</f>
        <v>#REF!</v>
      </c>
      <c r="K108" t="e">
        <f>AND(#REF!,"AAAAAG+b1go=")</f>
        <v>#REF!</v>
      </c>
      <c r="L108" t="e">
        <f>AND(#REF!,"AAAAAG+b1gs=")</f>
        <v>#REF!</v>
      </c>
      <c r="M108" t="e">
        <f>AND(#REF!,"AAAAAG+b1gw=")</f>
        <v>#REF!</v>
      </c>
      <c r="N108" t="e">
        <f>AND(#REF!,"AAAAAG+b1g0=")</f>
        <v>#REF!</v>
      </c>
      <c r="O108" t="e">
        <f>AND(#REF!,"AAAAAG+b1g4=")</f>
        <v>#REF!</v>
      </c>
      <c r="P108" t="e">
        <f>AND(#REF!,"AAAAAG+b1g8=")</f>
        <v>#REF!</v>
      </c>
      <c r="Q108" t="e">
        <f>AND(#REF!,"AAAAAG+b1hA=")</f>
        <v>#REF!</v>
      </c>
      <c r="R108" t="e">
        <f>AND(#REF!,"AAAAAG+b1hE=")</f>
        <v>#REF!</v>
      </c>
      <c r="S108" t="e">
        <f>AND(#REF!,"AAAAAG+b1hI=")</f>
        <v>#REF!</v>
      </c>
      <c r="T108" t="e">
        <f>AND(#REF!,"AAAAAG+b1hM=")</f>
        <v>#REF!</v>
      </c>
      <c r="U108" t="e">
        <f>AND(#REF!,"AAAAAG+b1hQ=")</f>
        <v>#REF!</v>
      </c>
      <c r="V108" t="e">
        <f>AND(#REF!,"AAAAAG+b1hU=")</f>
        <v>#REF!</v>
      </c>
      <c r="W108" t="e">
        <f>AND(#REF!,"AAAAAG+b1hY=")</f>
        <v>#REF!</v>
      </c>
      <c r="X108" t="e">
        <f>IF(#REF!,"AAAAAG+b1hc=",0)</f>
        <v>#REF!</v>
      </c>
      <c r="Y108" t="e">
        <f>AND(#REF!,"AAAAAG+b1hg=")</f>
        <v>#REF!</v>
      </c>
      <c r="Z108" t="e">
        <f>AND(#REF!,"AAAAAG+b1hk=")</f>
        <v>#REF!</v>
      </c>
      <c r="AA108" t="e">
        <f>AND(#REF!,"AAAAAG+b1ho=")</f>
        <v>#REF!</v>
      </c>
      <c r="AB108" t="e">
        <f>AND(#REF!,"AAAAAG+b1hs=")</f>
        <v>#REF!</v>
      </c>
      <c r="AC108" t="e">
        <f>AND(#REF!,"AAAAAG+b1hw=")</f>
        <v>#REF!</v>
      </c>
      <c r="AD108" t="e">
        <f>AND(#REF!,"AAAAAG+b1h0=")</f>
        <v>#REF!</v>
      </c>
      <c r="AE108" t="e">
        <f>AND(#REF!,"AAAAAG+b1h4=")</f>
        <v>#REF!</v>
      </c>
      <c r="AF108" t="e">
        <f>AND(#REF!,"AAAAAG+b1h8=")</f>
        <v>#REF!</v>
      </c>
      <c r="AG108" t="e">
        <f>AND(#REF!,"AAAAAG+b1iA=")</f>
        <v>#REF!</v>
      </c>
      <c r="AH108" t="e">
        <f>AND(#REF!,"AAAAAG+b1iE=")</f>
        <v>#REF!</v>
      </c>
      <c r="AI108" t="e">
        <f>AND(#REF!,"AAAAAG+b1iI=")</f>
        <v>#REF!</v>
      </c>
      <c r="AJ108" t="e">
        <f>AND(#REF!,"AAAAAG+b1iM=")</f>
        <v>#REF!</v>
      </c>
      <c r="AK108" t="e">
        <f>AND(#REF!,"AAAAAG+b1iQ=")</f>
        <v>#REF!</v>
      </c>
      <c r="AL108" t="e">
        <f>AND(#REF!,"AAAAAG+b1iU=")</f>
        <v>#REF!</v>
      </c>
      <c r="AM108" t="e">
        <f>AND(#REF!,"AAAAAG+b1iY=")</f>
        <v>#REF!</v>
      </c>
      <c r="AN108" t="e">
        <f>AND(#REF!,"AAAAAG+b1ic=")</f>
        <v>#REF!</v>
      </c>
      <c r="AO108" t="e">
        <f>AND(#REF!,"AAAAAG+b1ig=")</f>
        <v>#REF!</v>
      </c>
      <c r="AP108" t="e">
        <f>AND(#REF!,"AAAAAG+b1ik=")</f>
        <v>#REF!</v>
      </c>
      <c r="AQ108" t="e">
        <f>AND(#REF!,"AAAAAG+b1io=")</f>
        <v>#REF!</v>
      </c>
      <c r="AR108" t="e">
        <f>AND(#REF!,"AAAAAG+b1is=")</f>
        <v>#REF!</v>
      </c>
      <c r="AS108" t="e">
        <f>AND(#REF!,"AAAAAG+b1iw=")</f>
        <v>#REF!</v>
      </c>
      <c r="AT108" t="e">
        <f>AND(#REF!,"AAAAAG+b1i0=")</f>
        <v>#REF!</v>
      </c>
      <c r="AU108" t="e">
        <f>AND(#REF!,"AAAAAG+b1i4=")</f>
        <v>#REF!</v>
      </c>
      <c r="AV108" t="e">
        <f>AND(#REF!,"AAAAAG+b1i8=")</f>
        <v>#REF!</v>
      </c>
      <c r="AW108" t="e">
        <f>AND(#REF!,"AAAAAG+b1jA=")</f>
        <v>#REF!</v>
      </c>
      <c r="AX108" t="e">
        <f>AND(#REF!,"AAAAAG+b1jE=")</f>
        <v>#REF!</v>
      </c>
      <c r="AY108" t="e">
        <f>IF(#REF!,"AAAAAG+b1jI=",0)</f>
        <v>#REF!</v>
      </c>
      <c r="AZ108" t="e">
        <f>AND(#REF!,"AAAAAG+b1jM=")</f>
        <v>#REF!</v>
      </c>
      <c r="BA108" t="e">
        <f>AND(#REF!,"AAAAAG+b1jQ=")</f>
        <v>#REF!</v>
      </c>
      <c r="BB108" t="e">
        <f>AND(#REF!,"AAAAAG+b1jU=")</f>
        <v>#REF!</v>
      </c>
      <c r="BC108" t="e">
        <f>AND(#REF!,"AAAAAG+b1jY=")</f>
        <v>#REF!</v>
      </c>
      <c r="BD108" t="e">
        <f>AND(#REF!,"AAAAAG+b1jc=")</f>
        <v>#REF!</v>
      </c>
      <c r="BE108" t="e">
        <f>AND(#REF!,"AAAAAG+b1jg=")</f>
        <v>#REF!</v>
      </c>
      <c r="BF108" t="e">
        <f>AND(#REF!,"AAAAAG+b1jk=")</f>
        <v>#REF!</v>
      </c>
      <c r="BG108" t="e">
        <f>AND(#REF!,"AAAAAG+b1jo=")</f>
        <v>#REF!</v>
      </c>
      <c r="BH108" t="e">
        <f>AND(#REF!,"AAAAAG+b1js=")</f>
        <v>#REF!</v>
      </c>
      <c r="BI108" t="e">
        <f>AND(#REF!,"AAAAAG+b1jw=")</f>
        <v>#REF!</v>
      </c>
      <c r="BJ108" t="e">
        <f>AND(#REF!,"AAAAAG+b1j0=")</f>
        <v>#REF!</v>
      </c>
      <c r="BK108" t="e">
        <f>AND(#REF!,"AAAAAG+b1j4=")</f>
        <v>#REF!</v>
      </c>
      <c r="BL108" t="e">
        <f>AND(#REF!,"AAAAAG+b1j8=")</f>
        <v>#REF!</v>
      </c>
      <c r="BM108" t="e">
        <f>AND(#REF!,"AAAAAG+b1kA=")</f>
        <v>#REF!</v>
      </c>
      <c r="BN108" t="e">
        <f>AND(#REF!,"AAAAAG+b1kE=")</f>
        <v>#REF!</v>
      </c>
      <c r="BO108" t="e">
        <f>AND(#REF!,"AAAAAG+b1kI=")</f>
        <v>#REF!</v>
      </c>
      <c r="BP108" t="e">
        <f>AND(#REF!,"AAAAAG+b1kM=")</f>
        <v>#REF!</v>
      </c>
      <c r="BQ108" t="e">
        <f>AND(#REF!,"AAAAAG+b1kQ=")</f>
        <v>#REF!</v>
      </c>
      <c r="BR108" t="e">
        <f>AND(#REF!,"AAAAAG+b1kU=")</f>
        <v>#REF!</v>
      </c>
      <c r="BS108" t="e">
        <f>AND(#REF!,"AAAAAG+b1kY=")</f>
        <v>#REF!</v>
      </c>
      <c r="BT108" t="e">
        <f>AND(#REF!,"AAAAAG+b1kc=")</f>
        <v>#REF!</v>
      </c>
      <c r="BU108" t="e">
        <f>AND(#REF!,"AAAAAG+b1kg=")</f>
        <v>#REF!</v>
      </c>
      <c r="BV108" t="e">
        <f>AND(#REF!,"AAAAAG+b1kk=")</f>
        <v>#REF!</v>
      </c>
      <c r="BW108" t="e">
        <f>AND(#REF!,"AAAAAG+b1ko=")</f>
        <v>#REF!</v>
      </c>
      <c r="BX108" t="e">
        <f>AND(#REF!,"AAAAAG+b1ks=")</f>
        <v>#REF!</v>
      </c>
      <c r="BY108" t="e">
        <f>AND(#REF!,"AAAAAG+b1kw=")</f>
        <v>#REF!</v>
      </c>
      <c r="BZ108" t="e">
        <f>IF(#REF!,"AAAAAG+b1k0=",0)</f>
        <v>#REF!</v>
      </c>
      <c r="CA108" t="e">
        <f>AND(#REF!,"AAAAAG+b1k4=")</f>
        <v>#REF!</v>
      </c>
      <c r="CB108" t="e">
        <f>AND(#REF!,"AAAAAG+b1k8=")</f>
        <v>#REF!</v>
      </c>
      <c r="CC108" t="e">
        <f>AND(#REF!,"AAAAAG+b1lA=")</f>
        <v>#REF!</v>
      </c>
      <c r="CD108" t="e">
        <f>AND(#REF!,"AAAAAG+b1lE=")</f>
        <v>#REF!</v>
      </c>
      <c r="CE108" t="e">
        <f>AND(#REF!,"AAAAAG+b1lI=")</f>
        <v>#REF!</v>
      </c>
      <c r="CF108" t="e">
        <f>AND(#REF!,"AAAAAG+b1lM=")</f>
        <v>#REF!</v>
      </c>
      <c r="CG108" t="e">
        <f>AND(#REF!,"AAAAAG+b1lQ=")</f>
        <v>#REF!</v>
      </c>
      <c r="CH108" t="e">
        <f>AND(#REF!,"AAAAAG+b1lU=")</f>
        <v>#REF!</v>
      </c>
      <c r="CI108" t="e">
        <f>AND(#REF!,"AAAAAG+b1lY=")</f>
        <v>#REF!</v>
      </c>
      <c r="CJ108" t="e">
        <f>AND(#REF!,"AAAAAG+b1lc=")</f>
        <v>#REF!</v>
      </c>
      <c r="CK108" t="e">
        <f>AND(#REF!,"AAAAAG+b1lg=")</f>
        <v>#REF!</v>
      </c>
      <c r="CL108" t="e">
        <f>AND(#REF!,"AAAAAG+b1lk=")</f>
        <v>#REF!</v>
      </c>
      <c r="CM108" t="e">
        <f>AND(#REF!,"AAAAAG+b1lo=")</f>
        <v>#REF!</v>
      </c>
      <c r="CN108" t="e">
        <f>AND(#REF!,"AAAAAG+b1ls=")</f>
        <v>#REF!</v>
      </c>
      <c r="CO108" t="e">
        <f>AND(#REF!,"AAAAAG+b1lw=")</f>
        <v>#REF!</v>
      </c>
      <c r="CP108" t="e">
        <f>AND(#REF!,"AAAAAG+b1l0=")</f>
        <v>#REF!</v>
      </c>
      <c r="CQ108" t="e">
        <f>AND(#REF!,"AAAAAG+b1l4=")</f>
        <v>#REF!</v>
      </c>
      <c r="CR108" t="e">
        <f>AND(#REF!,"AAAAAG+b1l8=")</f>
        <v>#REF!</v>
      </c>
      <c r="CS108" t="e">
        <f>AND(#REF!,"AAAAAG+b1mA=")</f>
        <v>#REF!</v>
      </c>
      <c r="CT108" t="e">
        <f>AND(#REF!,"AAAAAG+b1mE=")</f>
        <v>#REF!</v>
      </c>
      <c r="CU108" t="e">
        <f>AND(#REF!,"AAAAAG+b1mI=")</f>
        <v>#REF!</v>
      </c>
      <c r="CV108" t="e">
        <f>AND(#REF!,"AAAAAG+b1mM=")</f>
        <v>#REF!</v>
      </c>
      <c r="CW108" t="e">
        <f>AND(#REF!,"AAAAAG+b1mQ=")</f>
        <v>#REF!</v>
      </c>
      <c r="CX108" t="e">
        <f>AND(#REF!,"AAAAAG+b1mU=")</f>
        <v>#REF!</v>
      </c>
      <c r="CY108" t="e">
        <f>AND(#REF!,"AAAAAG+b1mY=")</f>
        <v>#REF!</v>
      </c>
      <c r="CZ108" t="e">
        <f>AND(#REF!,"AAAAAG+b1mc=")</f>
        <v>#REF!</v>
      </c>
      <c r="DA108" t="e">
        <f>IF(#REF!,"AAAAAG+b1mg=",0)</f>
        <v>#REF!</v>
      </c>
      <c r="DB108" t="e">
        <f>AND(#REF!,"AAAAAG+b1mk=")</f>
        <v>#REF!</v>
      </c>
      <c r="DC108" t="e">
        <f>AND(#REF!,"AAAAAG+b1mo=")</f>
        <v>#REF!</v>
      </c>
      <c r="DD108" t="e">
        <f>AND(#REF!,"AAAAAG+b1ms=")</f>
        <v>#REF!</v>
      </c>
      <c r="DE108" t="e">
        <f>AND(#REF!,"AAAAAG+b1mw=")</f>
        <v>#REF!</v>
      </c>
      <c r="DF108" t="e">
        <f>AND(#REF!,"AAAAAG+b1m0=")</f>
        <v>#REF!</v>
      </c>
      <c r="DG108" t="e">
        <f>AND(#REF!,"AAAAAG+b1m4=")</f>
        <v>#REF!</v>
      </c>
      <c r="DH108" t="e">
        <f>AND(#REF!,"AAAAAG+b1m8=")</f>
        <v>#REF!</v>
      </c>
      <c r="DI108" t="e">
        <f>AND(#REF!,"AAAAAG+b1nA=")</f>
        <v>#REF!</v>
      </c>
      <c r="DJ108" t="e">
        <f>AND(#REF!,"AAAAAG+b1nE=")</f>
        <v>#REF!</v>
      </c>
      <c r="DK108" t="e">
        <f>AND(#REF!,"AAAAAG+b1nI=")</f>
        <v>#REF!</v>
      </c>
      <c r="DL108" t="e">
        <f>AND(#REF!,"AAAAAG+b1nM=")</f>
        <v>#REF!</v>
      </c>
      <c r="DM108" t="e">
        <f>AND(#REF!,"AAAAAG+b1nQ=")</f>
        <v>#REF!</v>
      </c>
      <c r="DN108" t="e">
        <f>AND(#REF!,"AAAAAG+b1nU=")</f>
        <v>#REF!</v>
      </c>
      <c r="DO108" t="e">
        <f>AND(#REF!,"AAAAAG+b1nY=")</f>
        <v>#REF!</v>
      </c>
      <c r="DP108" t="e">
        <f>AND(#REF!,"AAAAAG+b1nc=")</f>
        <v>#REF!</v>
      </c>
      <c r="DQ108" t="e">
        <f>AND(#REF!,"AAAAAG+b1ng=")</f>
        <v>#REF!</v>
      </c>
      <c r="DR108" t="e">
        <f>AND(#REF!,"AAAAAG+b1nk=")</f>
        <v>#REF!</v>
      </c>
      <c r="DS108" t="e">
        <f>AND(#REF!,"AAAAAG+b1no=")</f>
        <v>#REF!</v>
      </c>
      <c r="DT108" t="e">
        <f>AND(#REF!,"AAAAAG+b1ns=")</f>
        <v>#REF!</v>
      </c>
      <c r="DU108" t="e">
        <f>AND(#REF!,"AAAAAG+b1nw=")</f>
        <v>#REF!</v>
      </c>
      <c r="DV108" t="e">
        <f>AND(#REF!,"AAAAAG+b1n0=")</f>
        <v>#REF!</v>
      </c>
      <c r="DW108" t="e">
        <f>AND(#REF!,"AAAAAG+b1n4=")</f>
        <v>#REF!</v>
      </c>
      <c r="DX108" t="e">
        <f>AND(#REF!,"AAAAAG+b1n8=")</f>
        <v>#REF!</v>
      </c>
      <c r="DY108" t="e">
        <f>AND(#REF!,"AAAAAG+b1oA=")</f>
        <v>#REF!</v>
      </c>
      <c r="DZ108" t="e">
        <f>AND(#REF!,"AAAAAG+b1oE=")</f>
        <v>#REF!</v>
      </c>
      <c r="EA108" t="e">
        <f>AND(#REF!,"AAAAAG+b1oI=")</f>
        <v>#REF!</v>
      </c>
      <c r="EB108" t="e">
        <f>IF(#REF!,"AAAAAG+b1oM=",0)</f>
        <v>#REF!</v>
      </c>
      <c r="EC108" t="e">
        <f>AND(#REF!,"AAAAAG+b1oQ=")</f>
        <v>#REF!</v>
      </c>
      <c r="ED108" t="e">
        <f>AND(#REF!,"AAAAAG+b1oU=")</f>
        <v>#REF!</v>
      </c>
      <c r="EE108" t="e">
        <f>AND(#REF!,"AAAAAG+b1oY=")</f>
        <v>#REF!</v>
      </c>
      <c r="EF108" t="e">
        <f>AND(#REF!,"AAAAAG+b1oc=")</f>
        <v>#REF!</v>
      </c>
      <c r="EG108" t="e">
        <f>AND(#REF!,"AAAAAG+b1og=")</f>
        <v>#REF!</v>
      </c>
      <c r="EH108" t="e">
        <f>AND(#REF!,"AAAAAG+b1ok=")</f>
        <v>#REF!</v>
      </c>
      <c r="EI108" t="e">
        <f>AND(#REF!,"AAAAAG+b1oo=")</f>
        <v>#REF!</v>
      </c>
      <c r="EJ108" t="e">
        <f>AND(#REF!,"AAAAAG+b1os=")</f>
        <v>#REF!</v>
      </c>
      <c r="EK108" t="e">
        <f>AND(#REF!,"AAAAAG+b1ow=")</f>
        <v>#REF!</v>
      </c>
      <c r="EL108" t="e">
        <f>AND(#REF!,"AAAAAG+b1o0=")</f>
        <v>#REF!</v>
      </c>
      <c r="EM108" t="e">
        <f>AND(#REF!,"AAAAAG+b1o4=")</f>
        <v>#REF!</v>
      </c>
      <c r="EN108" t="e">
        <f>AND(#REF!,"AAAAAG+b1o8=")</f>
        <v>#REF!</v>
      </c>
      <c r="EO108" t="e">
        <f>AND(#REF!,"AAAAAG+b1pA=")</f>
        <v>#REF!</v>
      </c>
      <c r="EP108" t="e">
        <f>AND(#REF!,"AAAAAG+b1pE=")</f>
        <v>#REF!</v>
      </c>
      <c r="EQ108" t="e">
        <f>AND(#REF!,"AAAAAG+b1pI=")</f>
        <v>#REF!</v>
      </c>
      <c r="ER108" t="e">
        <f>AND(#REF!,"AAAAAG+b1pM=")</f>
        <v>#REF!</v>
      </c>
      <c r="ES108" t="e">
        <f>AND(#REF!,"AAAAAG+b1pQ=")</f>
        <v>#REF!</v>
      </c>
      <c r="ET108" t="e">
        <f>AND(#REF!,"AAAAAG+b1pU=")</f>
        <v>#REF!</v>
      </c>
      <c r="EU108" t="e">
        <f>AND(#REF!,"AAAAAG+b1pY=")</f>
        <v>#REF!</v>
      </c>
      <c r="EV108" t="e">
        <f>AND(#REF!,"AAAAAG+b1pc=")</f>
        <v>#REF!</v>
      </c>
      <c r="EW108" t="e">
        <f>AND(#REF!,"AAAAAG+b1pg=")</f>
        <v>#REF!</v>
      </c>
      <c r="EX108" t="e">
        <f>AND(#REF!,"AAAAAG+b1pk=")</f>
        <v>#REF!</v>
      </c>
      <c r="EY108" t="e">
        <f>AND(#REF!,"AAAAAG+b1po=")</f>
        <v>#REF!</v>
      </c>
      <c r="EZ108" t="e">
        <f>AND(#REF!,"AAAAAG+b1ps=")</f>
        <v>#REF!</v>
      </c>
      <c r="FA108" t="e">
        <f>AND(#REF!,"AAAAAG+b1pw=")</f>
        <v>#REF!</v>
      </c>
      <c r="FB108" t="e">
        <f>AND(#REF!,"AAAAAG+b1p0=")</f>
        <v>#REF!</v>
      </c>
      <c r="FC108" t="e">
        <f>IF(#REF!,"AAAAAG+b1p4=",0)</f>
        <v>#REF!</v>
      </c>
      <c r="FD108" t="e">
        <f>AND(#REF!,"AAAAAG+b1p8=")</f>
        <v>#REF!</v>
      </c>
      <c r="FE108" t="e">
        <f>AND(#REF!,"AAAAAG+b1qA=")</f>
        <v>#REF!</v>
      </c>
      <c r="FF108" t="e">
        <f>AND(#REF!,"AAAAAG+b1qE=")</f>
        <v>#REF!</v>
      </c>
      <c r="FG108" t="e">
        <f>AND(#REF!,"AAAAAG+b1qI=")</f>
        <v>#REF!</v>
      </c>
      <c r="FH108" t="e">
        <f>AND(#REF!,"AAAAAG+b1qM=")</f>
        <v>#REF!</v>
      </c>
      <c r="FI108" t="e">
        <f>AND(#REF!,"AAAAAG+b1qQ=")</f>
        <v>#REF!</v>
      </c>
      <c r="FJ108" t="e">
        <f>AND(#REF!,"AAAAAG+b1qU=")</f>
        <v>#REF!</v>
      </c>
      <c r="FK108" t="e">
        <f>AND(#REF!,"AAAAAG+b1qY=")</f>
        <v>#REF!</v>
      </c>
      <c r="FL108" t="e">
        <f>AND(#REF!,"AAAAAG+b1qc=")</f>
        <v>#REF!</v>
      </c>
      <c r="FM108" t="e">
        <f>AND(#REF!,"AAAAAG+b1qg=")</f>
        <v>#REF!</v>
      </c>
      <c r="FN108" t="e">
        <f>AND(#REF!,"AAAAAG+b1qk=")</f>
        <v>#REF!</v>
      </c>
      <c r="FO108" t="e">
        <f>AND(#REF!,"AAAAAG+b1qo=")</f>
        <v>#REF!</v>
      </c>
      <c r="FP108" t="e">
        <f>AND(#REF!,"AAAAAG+b1qs=")</f>
        <v>#REF!</v>
      </c>
      <c r="FQ108" t="e">
        <f>AND(#REF!,"AAAAAG+b1qw=")</f>
        <v>#REF!</v>
      </c>
      <c r="FR108" t="e">
        <f>AND(#REF!,"AAAAAG+b1q0=")</f>
        <v>#REF!</v>
      </c>
      <c r="FS108" t="e">
        <f>AND(#REF!,"AAAAAG+b1q4=")</f>
        <v>#REF!</v>
      </c>
      <c r="FT108" t="e">
        <f>AND(#REF!,"AAAAAG+b1q8=")</f>
        <v>#REF!</v>
      </c>
      <c r="FU108" t="e">
        <f>AND(#REF!,"AAAAAG+b1rA=")</f>
        <v>#REF!</v>
      </c>
      <c r="FV108" t="e">
        <f>AND(#REF!,"AAAAAG+b1rE=")</f>
        <v>#REF!</v>
      </c>
      <c r="FW108" t="e">
        <f>AND(#REF!,"AAAAAG+b1rI=")</f>
        <v>#REF!</v>
      </c>
      <c r="FX108" t="e">
        <f>AND(#REF!,"AAAAAG+b1rM=")</f>
        <v>#REF!</v>
      </c>
      <c r="FY108" t="e">
        <f>AND(#REF!,"AAAAAG+b1rQ=")</f>
        <v>#REF!</v>
      </c>
      <c r="FZ108" t="e">
        <f>AND(#REF!,"AAAAAG+b1rU=")</f>
        <v>#REF!</v>
      </c>
      <c r="GA108" t="e">
        <f>AND(#REF!,"AAAAAG+b1rY=")</f>
        <v>#REF!</v>
      </c>
      <c r="GB108" t="e">
        <f>AND(#REF!,"AAAAAG+b1rc=")</f>
        <v>#REF!</v>
      </c>
      <c r="GC108" t="e">
        <f>AND(#REF!,"AAAAAG+b1rg=")</f>
        <v>#REF!</v>
      </c>
      <c r="GD108" t="e">
        <f>IF(#REF!,"AAAAAG+b1rk=",0)</f>
        <v>#REF!</v>
      </c>
      <c r="GE108" t="e">
        <f>AND(#REF!,"AAAAAG+b1ro=")</f>
        <v>#REF!</v>
      </c>
      <c r="GF108" t="e">
        <f>AND(#REF!,"AAAAAG+b1rs=")</f>
        <v>#REF!</v>
      </c>
      <c r="GG108" t="e">
        <f>AND(#REF!,"AAAAAG+b1rw=")</f>
        <v>#REF!</v>
      </c>
      <c r="GH108" t="e">
        <f>AND(#REF!,"AAAAAG+b1r0=")</f>
        <v>#REF!</v>
      </c>
      <c r="GI108" t="e">
        <f>AND(#REF!,"AAAAAG+b1r4=")</f>
        <v>#REF!</v>
      </c>
      <c r="GJ108" t="e">
        <f>AND(#REF!,"AAAAAG+b1r8=")</f>
        <v>#REF!</v>
      </c>
      <c r="GK108" t="e">
        <f>AND(#REF!,"AAAAAG+b1sA=")</f>
        <v>#REF!</v>
      </c>
      <c r="GL108" t="e">
        <f>AND(#REF!,"AAAAAG+b1sE=")</f>
        <v>#REF!</v>
      </c>
      <c r="GM108" t="e">
        <f>AND(#REF!,"AAAAAG+b1sI=")</f>
        <v>#REF!</v>
      </c>
      <c r="GN108" t="e">
        <f>AND(#REF!,"AAAAAG+b1sM=")</f>
        <v>#REF!</v>
      </c>
      <c r="GO108" t="e">
        <f>AND(#REF!,"AAAAAG+b1sQ=")</f>
        <v>#REF!</v>
      </c>
      <c r="GP108" t="e">
        <f>AND(#REF!,"AAAAAG+b1sU=")</f>
        <v>#REF!</v>
      </c>
      <c r="GQ108" t="e">
        <f>AND(#REF!,"AAAAAG+b1sY=")</f>
        <v>#REF!</v>
      </c>
      <c r="GR108" t="e">
        <f>AND(#REF!,"AAAAAG+b1sc=")</f>
        <v>#REF!</v>
      </c>
      <c r="GS108" t="e">
        <f>AND(#REF!,"AAAAAG+b1sg=")</f>
        <v>#REF!</v>
      </c>
      <c r="GT108" t="e">
        <f>AND(#REF!,"AAAAAG+b1sk=")</f>
        <v>#REF!</v>
      </c>
      <c r="GU108" t="e">
        <f>AND(#REF!,"AAAAAG+b1so=")</f>
        <v>#REF!</v>
      </c>
      <c r="GV108" t="e">
        <f>AND(#REF!,"AAAAAG+b1ss=")</f>
        <v>#REF!</v>
      </c>
      <c r="GW108" t="e">
        <f>AND(#REF!,"AAAAAG+b1sw=")</f>
        <v>#REF!</v>
      </c>
      <c r="GX108" t="e">
        <f>AND(#REF!,"AAAAAG+b1s0=")</f>
        <v>#REF!</v>
      </c>
      <c r="GY108" t="e">
        <f>AND(#REF!,"AAAAAG+b1s4=")</f>
        <v>#REF!</v>
      </c>
      <c r="GZ108" t="e">
        <f>AND(#REF!,"AAAAAG+b1s8=")</f>
        <v>#REF!</v>
      </c>
      <c r="HA108" t="e">
        <f>AND(#REF!,"AAAAAG+b1tA=")</f>
        <v>#REF!</v>
      </c>
      <c r="HB108" t="e">
        <f>AND(#REF!,"AAAAAG+b1tE=")</f>
        <v>#REF!</v>
      </c>
      <c r="HC108" t="e">
        <f>AND(#REF!,"AAAAAG+b1tI=")</f>
        <v>#REF!</v>
      </c>
      <c r="HD108" t="e">
        <f>AND(#REF!,"AAAAAG+b1tM=")</f>
        <v>#REF!</v>
      </c>
      <c r="HE108" t="e">
        <f>IF(#REF!,"AAAAAG+b1tQ=",0)</f>
        <v>#REF!</v>
      </c>
      <c r="HF108" t="e">
        <f>AND(#REF!,"AAAAAG+b1tU=")</f>
        <v>#REF!</v>
      </c>
      <c r="HG108" t="e">
        <f>AND(#REF!,"AAAAAG+b1tY=")</f>
        <v>#REF!</v>
      </c>
      <c r="HH108" t="e">
        <f>AND(#REF!,"AAAAAG+b1tc=")</f>
        <v>#REF!</v>
      </c>
      <c r="HI108" t="e">
        <f>AND(#REF!,"AAAAAG+b1tg=")</f>
        <v>#REF!</v>
      </c>
      <c r="HJ108" t="e">
        <f>AND(#REF!,"AAAAAG+b1tk=")</f>
        <v>#REF!</v>
      </c>
      <c r="HK108" t="e">
        <f>AND(#REF!,"AAAAAG+b1to=")</f>
        <v>#REF!</v>
      </c>
      <c r="HL108" t="e">
        <f>AND(#REF!,"AAAAAG+b1ts=")</f>
        <v>#REF!</v>
      </c>
      <c r="HM108" t="e">
        <f>AND(#REF!,"AAAAAG+b1tw=")</f>
        <v>#REF!</v>
      </c>
      <c r="HN108" t="e">
        <f>AND(#REF!,"AAAAAG+b1t0=")</f>
        <v>#REF!</v>
      </c>
      <c r="HO108" t="e">
        <f>AND(#REF!,"AAAAAG+b1t4=")</f>
        <v>#REF!</v>
      </c>
      <c r="HP108" t="e">
        <f>AND(#REF!,"AAAAAG+b1t8=")</f>
        <v>#REF!</v>
      </c>
      <c r="HQ108" t="e">
        <f>AND(#REF!,"AAAAAG+b1uA=")</f>
        <v>#REF!</v>
      </c>
      <c r="HR108" t="e">
        <f>AND(#REF!,"AAAAAG+b1uE=")</f>
        <v>#REF!</v>
      </c>
      <c r="HS108" t="e">
        <f>AND(#REF!,"AAAAAG+b1uI=")</f>
        <v>#REF!</v>
      </c>
      <c r="HT108" t="e">
        <f>AND(#REF!,"AAAAAG+b1uM=")</f>
        <v>#REF!</v>
      </c>
      <c r="HU108" t="e">
        <f>AND(#REF!,"AAAAAG+b1uQ=")</f>
        <v>#REF!</v>
      </c>
      <c r="HV108" t="e">
        <f>AND(#REF!,"AAAAAG+b1uU=")</f>
        <v>#REF!</v>
      </c>
      <c r="HW108" t="e">
        <f>AND(#REF!,"AAAAAG+b1uY=")</f>
        <v>#REF!</v>
      </c>
      <c r="HX108" t="e">
        <f>AND(#REF!,"AAAAAG+b1uc=")</f>
        <v>#REF!</v>
      </c>
      <c r="HY108" t="e">
        <f>AND(#REF!,"AAAAAG+b1ug=")</f>
        <v>#REF!</v>
      </c>
      <c r="HZ108" t="e">
        <f>AND(#REF!,"AAAAAG+b1uk=")</f>
        <v>#REF!</v>
      </c>
      <c r="IA108" t="e">
        <f>AND(#REF!,"AAAAAG+b1uo=")</f>
        <v>#REF!</v>
      </c>
      <c r="IB108" t="e">
        <f>AND(#REF!,"AAAAAG+b1us=")</f>
        <v>#REF!</v>
      </c>
      <c r="IC108" t="e">
        <f>AND(#REF!,"AAAAAG+b1uw=")</f>
        <v>#REF!</v>
      </c>
      <c r="ID108" t="e">
        <f>AND(#REF!,"AAAAAG+b1u0=")</f>
        <v>#REF!</v>
      </c>
      <c r="IE108" t="e">
        <f>AND(#REF!,"AAAAAG+b1u4=")</f>
        <v>#REF!</v>
      </c>
      <c r="IF108" t="e">
        <f>IF(#REF!,"AAAAAG+b1u8=",0)</f>
        <v>#REF!</v>
      </c>
      <c r="IG108" t="e">
        <f>AND(#REF!,"AAAAAG+b1vA=")</f>
        <v>#REF!</v>
      </c>
      <c r="IH108" t="e">
        <f>AND(#REF!,"AAAAAG+b1vE=")</f>
        <v>#REF!</v>
      </c>
      <c r="II108" t="e">
        <f>AND(#REF!,"AAAAAG+b1vI=")</f>
        <v>#REF!</v>
      </c>
      <c r="IJ108" t="e">
        <f>AND(#REF!,"AAAAAG+b1vM=")</f>
        <v>#REF!</v>
      </c>
      <c r="IK108" t="e">
        <f>AND(#REF!,"AAAAAG+b1vQ=")</f>
        <v>#REF!</v>
      </c>
      <c r="IL108" t="e">
        <f>AND(#REF!,"AAAAAG+b1vU=")</f>
        <v>#REF!</v>
      </c>
      <c r="IM108" t="e">
        <f>AND(#REF!,"AAAAAG+b1vY=")</f>
        <v>#REF!</v>
      </c>
      <c r="IN108" t="e">
        <f>AND(#REF!,"AAAAAG+b1vc=")</f>
        <v>#REF!</v>
      </c>
      <c r="IO108" t="e">
        <f>AND(#REF!,"AAAAAG+b1vg=")</f>
        <v>#REF!</v>
      </c>
      <c r="IP108" t="e">
        <f>AND(#REF!,"AAAAAG+b1vk=")</f>
        <v>#REF!</v>
      </c>
      <c r="IQ108" t="e">
        <f>AND(#REF!,"AAAAAG+b1vo=")</f>
        <v>#REF!</v>
      </c>
      <c r="IR108" t="e">
        <f>AND(#REF!,"AAAAAG+b1vs=")</f>
        <v>#REF!</v>
      </c>
      <c r="IS108" t="e">
        <f>AND(#REF!,"AAAAAG+b1vw=")</f>
        <v>#REF!</v>
      </c>
      <c r="IT108" t="e">
        <f>AND(#REF!,"AAAAAG+b1v0=")</f>
        <v>#REF!</v>
      </c>
      <c r="IU108" t="e">
        <f>AND(#REF!,"AAAAAG+b1v4=")</f>
        <v>#REF!</v>
      </c>
      <c r="IV108" t="e">
        <f>AND(#REF!,"AAAAAG+b1v8=")</f>
        <v>#REF!</v>
      </c>
    </row>
    <row r="109" spans="1:256" x14ac:dyDescent="0.2">
      <c r="A109" t="e">
        <f>AND(#REF!,"AAAAAH6r/wA=")</f>
        <v>#REF!</v>
      </c>
      <c r="B109" t="e">
        <f>AND(#REF!,"AAAAAH6r/wE=")</f>
        <v>#REF!</v>
      </c>
      <c r="C109" t="e">
        <f>AND(#REF!,"AAAAAH6r/wI=")</f>
        <v>#REF!</v>
      </c>
      <c r="D109" t="e">
        <f>AND(#REF!,"AAAAAH6r/wM=")</f>
        <v>#REF!</v>
      </c>
      <c r="E109" t="e">
        <f>AND(#REF!,"AAAAAH6r/wQ=")</f>
        <v>#REF!</v>
      </c>
      <c r="F109" t="e">
        <f>AND(#REF!,"AAAAAH6r/wU=")</f>
        <v>#REF!</v>
      </c>
      <c r="G109" t="e">
        <f>AND(#REF!,"AAAAAH6r/wY=")</f>
        <v>#REF!</v>
      </c>
      <c r="H109" t="e">
        <f>AND(#REF!,"AAAAAH6r/wc=")</f>
        <v>#REF!</v>
      </c>
      <c r="I109" t="e">
        <f>AND(#REF!,"AAAAAH6r/wg=")</f>
        <v>#REF!</v>
      </c>
      <c r="J109" t="e">
        <f>AND(#REF!,"AAAAAH6r/wk=")</f>
        <v>#REF!</v>
      </c>
      <c r="K109" t="e">
        <f>IF(#REF!,"AAAAAH6r/wo=",0)</f>
        <v>#REF!</v>
      </c>
      <c r="L109" t="e">
        <f>AND(#REF!,"AAAAAH6r/ws=")</f>
        <v>#REF!</v>
      </c>
      <c r="M109" t="e">
        <f>AND(#REF!,"AAAAAH6r/ww=")</f>
        <v>#REF!</v>
      </c>
      <c r="N109" t="e">
        <f>AND(#REF!,"AAAAAH6r/w0=")</f>
        <v>#REF!</v>
      </c>
      <c r="O109" t="e">
        <f>AND(#REF!,"AAAAAH6r/w4=")</f>
        <v>#REF!</v>
      </c>
      <c r="P109" t="e">
        <f>AND(#REF!,"AAAAAH6r/w8=")</f>
        <v>#REF!</v>
      </c>
      <c r="Q109" t="e">
        <f>AND(#REF!,"AAAAAH6r/xA=")</f>
        <v>#REF!</v>
      </c>
      <c r="R109" t="e">
        <f>AND(#REF!,"AAAAAH6r/xE=")</f>
        <v>#REF!</v>
      </c>
      <c r="S109" t="e">
        <f>AND(#REF!,"AAAAAH6r/xI=")</f>
        <v>#REF!</v>
      </c>
      <c r="T109" t="e">
        <f>AND(#REF!,"AAAAAH6r/xM=")</f>
        <v>#REF!</v>
      </c>
      <c r="U109" t="e">
        <f>AND(#REF!,"AAAAAH6r/xQ=")</f>
        <v>#REF!</v>
      </c>
      <c r="V109" t="e">
        <f>AND(#REF!,"AAAAAH6r/xU=")</f>
        <v>#REF!</v>
      </c>
      <c r="W109" t="e">
        <f>AND(#REF!,"AAAAAH6r/xY=")</f>
        <v>#REF!</v>
      </c>
      <c r="X109" t="e">
        <f>AND(#REF!,"AAAAAH6r/xc=")</f>
        <v>#REF!</v>
      </c>
      <c r="Y109" t="e">
        <f>AND(#REF!,"AAAAAH6r/xg=")</f>
        <v>#REF!</v>
      </c>
      <c r="Z109" t="e">
        <f>AND(#REF!,"AAAAAH6r/xk=")</f>
        <v>#REF!</v>
      </c>
      <c r="AA109" t="e">
        <f>AND(#REF!,"AAAAAH6r/xo=")</f>
        <v>#REF!</v>
      </c>
      <c r="AB109" t="e">
        <f>AND(#REF!,"AAAAAH6r/xs=")</f>
        <v>#REF!</v>
      </c>
      <c r="AC109" t="e">
        <f>AND(#REF!,"AAAAAH6r/xw=")</f>
        <v>#REF!</v>
      </c>
      <c r="AD109" t="e">
        <f>AND(#REF!,"AAAAAH6r/x0=")</f>
        <v>#REF!</v>
      </c>
      <c r="AE109" t="e">
        <f>AND(#REF!,"AAAAAH6r/x4=")</f>
        <v>#REF!</v>
      </c>
      <c r="AF109" t="e">
        <f>AND(#REF!,"AAAAAH6r/x8=")</f>
        <v>#REF!</v>
      </c>
      <c r="AG109" t="e">
        <f>AND(#REF!,"AAAAAH6r/yA=")</f>
        <v>#REF!</v>
      </c>
      <c r="AH109" t="e">
        <f>AND(#REF!,"AAAAAH6r/yE=")</f>
        <v>#REF!</v>
      </c>
      <c r="AI109" t="e">
        <f>AND(#REF!,"AAAAAH6r/yI=")</f>
        <v>#REF!</v>
      </c>
      <c r="AJ109" t="e">
        <f>AND(#REF!,"AAAAAH6r/yM=")</f>
        <v>#REF!</v>
      </c>
      <c r="AK109" t="e">
        <f>AND(#REF!,"AAAAAH6r/yQ=")</f>
        <v>#REF!</v>
      </c>
      <c r="AL109" t="e">
        <f>IF(#REF!,"AAAAAH6r/yU=",0)</f>
        <v>#REF!</v>
      </c>
      <c r="AM109" t="e">
        <f>AND(#REF!,"AAAAAH6r/yY=")</f>
        <v>#REF!</v>
      </c>
      <c r="AN109" t="e">
        <f>AND(#REF!,"AAAAAH6r/yc=")</f>
        <v>#REF!</v>
      </c>
      <c r="AO109" t="e">
        <f>AND(#REF!,"AAAAAH6r/yg=")</f>
        <v>#REF!</v>
      </c>
      <c r="AP109" t="e">
        <f>AND(#REF!,"AAAAAH6r/yk=")</f>
        <v>#REF!</v>
      </c>
      <c r="AQ109" t="e">
        <f>AND(#REF!,"AAAAAH6r/yo=")</f>
        <v>#REF!</v>
      </c>
      <c r="AR109" t="e">
        <f>AND(#REF!,"AAAAAH6r/ys=")</f>
        <v>#REF!</v>
      </c>
      <c r="AS109" t="e">
        <f>AND(#REF!,"AAAAAH6r/yw=")</f>
        <v>#REF!</v>
      </c>
      <c r="AT109" t="e">
        <f>AND(#REF!,"AAAAAH6r/y0=")</f>
        <v>#REF!</v>
      </c>
      <c r="AU109" t="e">
        <f>AND(#REF!,"AAAAAH6r/y4=")</f>
        <v>#REF!</v>
      </c>
      <c r="AV109" t="e">
        <f>AND(#REF!,"AAAAAH6r/y8=")</f>
        <v>#REF!</v>
      </c>
      <c r="AW109" t="e">
        <f>AND(#REF!,"AAAAAH6r/zA=")</f>
        <v>#REF!</v>
      </c>
      <c r="AX109" t="e">
        <f>AND(#REF!,"AAAAAH6r/zE=")</f>
        <v>#REF!</v>
      </c>
      <c r="AY109" t="e">
        <f>AND(#REF!,"AAAAAH6r/zI=")</f>
        <v>#REF!</v>
      </c>
      <c r="AZ109" t="e">
        <f>AND(#REF!,"AAAAAH6r/zM=")</f>
        <v>#REF!</v>
      </c>
      <c r="BA109" t="e">
        <f>AND(#REF!,"AAAAAH6r/zQ=")</f>
        <v>#REF!</v>
      </c>
      <c r="BB109" t="e">
        <f>AND(#REF!,"AAAAAH6r/zU=")</f>
        <v>#REF!</v>
      </c>
      <c r="BC109" t="e">
        <f>AND(#REF!,"AAAAAH6r/zY=")</f>
        <v>#REF!</v>
      </c>
      <c r="BD109" t="e">
        <f>AND(#REF!,"AAAAAH6r/zc=")</f>
        <v>#REF!</v>
      </c>
      <c r="BE109" t="e">
        <f>AND(#REF!,"AAAAAH6r/zg=")</f>
        <v>#REF!</v>
      </c>
      <c r="BF109" t="e">
        <f>AND(#REF!,"AAAAAH6r/zk=")</f>
        <v>#REF!</v>
      </c>
      <c r="BG109" t="e">
        <f>AND(#REF!,"AAAAAH6r/zo=")</f>
        <v>#REF!</v>
      </c>
      <c r="BH109" t="e">
        <f>AND(#REF!,"AAAAAH6r/zs=")</f>
        <v>#REF!</v>
      </c>
      <c r="BI109" t="e">
        <f>AND(#REF!,"AAAAAH6r/zw=")</f>
        <v>#REF!</v>
      </c>
      <c r="BJ109" t="e">
        <f>AND(#REF!,"AAAAAH6r/z0=")</f>
        <v>#REF!</v>
      </c>
      <c r="BK109" t="e">
        <f>AND(#REF!,"AAAAAH6r/z4=")</f>
        <v>#REF!</v>
      </c>
      <c r="BL109" t="e">
        <f>AND(#REF!,"AAAAAH6r/z8=")</f>
        <v>#REF!</v>
      </c>
      <c r="BM109" t="e">
        <f>IF(#REF!,"AAAAAH6r/0A=",0)</f>
        <v>#REF!</v>
      </c>
      <c r="BN109" t="e">
        <f>AND(#REF!,"AAAAAH6r/0E=")</f>
        <v>#REF!</v>
      </c>
      <c r="BO109" t="e">
        <f>AND(#REF!,"AAAAAH6r/0I=")</f>
        <v>#REF!</v>
      </c>
      <c r="BP109" t="e">
        <f>AND(#REF!,"AAAAAH6r/0M=")</f>
        <v>#REF!</v>
      </c>
      <c r="BQ109" t="e">
        <f>AND(#REF!,"AAAAAH6r/0Q=")</f>
        <v>#REF!</v>
      </c>
      <c r="BR109" t="e">
        <f>AND(#REF!,"AAAAAH6r/0U=")</f>
        <v>#REF!</v>
      </c>
      <c r="BS109" t="e">
        <f>AND(#REF!,"AAAAAH6r/0Y=")</f>
        <v>#REF!</v>
      </c>
      <c r="BT109" t="e">
        <f>AND(#REF!,"AAAAAH6r/0c=")</f>
        <v>#REF!</v>
      </c>
      <c r="BU109" t="e">
        <f>AND(#REF!,"AAAAAH6r/0g=")</f>
        <v>#REF!</v>
      </c>
      <c r="BV109" t="e">
        <f>AND(#REF!,"AAAAAH6r/0k=")</f>
        <v>#REF!</v>
      </c>
      <c r="BW109" t="e">
        <f>AND(#REF!,"AAAAAH6r/0o=")</f>
        <v>#REF!</v>
      </c>
      <c r="BX109" t="e">
        <f>AND(#REF!,"AAAAAH6r/0s=")</f>
        <v>#REF!</v>
      </c>
      <c r="BY109" t="e">
        <f>AND(#REF!,"AAAAAH6r/0w=")</f>
        <v>#REF!</v>
      </c>
      <c r="BZ109" t="e">
        <f>AND(#REF!,"AAAAAH6r/00=")</f>
        <v>#REF!</v>
      </c>
      <c r="CA109" t="e">
        <f>AND(#REF!,"AAAAAH6r/04=")</f>
        <v>#REF!</v>
      </c>
      <c r="CB109" t="e">
        <f>AND(#REF!,"AAAAAH6r/08=")</f>
        <v>#REF!</v>
      </c>
      <c r="CC109" t="e">
        <f>AND(#REF!,"AAAAAH6r/1A=")</f>
        <v>#REF!</v>
      </c>
      <c r="CD109" t="e">
        <f>AND(#REF!,"AAAAAH6r/1E=")</f>
        <v>#REF!</v>
      </c>
      <c r="CE109" t="e">
        <f>AND(#REF!,"AAAAAH6r/1I=")</f>
        <v>#REF!</v>
      </c>
      <c r="CF109" t="e">
        <f>AND(#REF!,"AAAAAH6r/1M=")</f>
        <v>#REF!</v>
      </c>
      <c r="CG109" t="e">
        <f>AND(#REF!,"AAAAAH6r/1Q=")</f>
        <v>#REF!</v>
      </c>
      <c r="CH109" t="e">
        <f>AND(#REF!,"AAAAAH6r/1U=")</f>
        <v>#REF!</v>
      </c>
      <c r="CI109" t="e">
        <f>AND(#REF!,"AAAAAH6r/1Y=")</f>
        <v>#REF!</v>
      </c>
      <c r="CJ109" t="e">
        <f>AND(#REF!,"AAAAAH6r/1c=")</f>
        <v>#REF!</v>
      </c>
      <c r="CK109" t="e">
        <f>AND(#REF!,"AAAAAH6r/1g=")</f>
        <v>#REF!</v>
      </c>
      <c r="CL109" t="e">
        <f>AND(#REF!,"AAAAAH6r/1k=")</f>
        <v>#REF!</v>
      </c>
      <c r="CM109" t="e">
        <f>AND(#REF!,"AAAAAH6r/1o=")</f>
        <v>#REF!</v>
      </c>
      <c r="CN109" t="e">
        <f>IF(#REF!,"AAAAAH6r/1s=",0)</f>
        <v>#REF!</v>
      </c>
      <c r="CO109" t="e">
        <f>AND(#REF!,"AAAAAH6r/1w=")</f>
        <v>#REF!</v>
      </c>
      <c r="CP109" t="e">
        <f>AND(#REF!,"AAAAAH6r/10=")</f>
        <v>#REF!</v>
      </c>
      <c r="CQ109" t="e">
        <f>AND(#REF!,"AAAAAH6r/14=")</f>
        <v>#REF!</v>
      </c>
      <c r="CR109" t="e">
        <f>AND(#REF!,"AAAAAH6r/18=")</f>
        <v>#REF!</v>
      </c>
      <c r="CS109" t="e">
        <f>AND(#REF!,"AAAAAH6r/2A=")</f>
        <v>#REF!</v>
      </c>
      <c r="CT109" t="e">
        <f>AND(#REF!,"AAAAAH6r/2E=")</f>
        <v>#REF!</v>
      </c>
      <c r="CU109" t="e">
        <f>AND(#REF!,"AAAAAH6r/2I=")</f>
        <v>#REF!</v>
      </c>
      <c r="CV109" t="e">
        <f>AND(#REF!,"AAAAAH6r/2M=")</f>
        <v>#REF!</v>
      </c>
      <c r="CW109" t="e">
        <f>AND(#REF!,"AAAAAH6r/2Q=")</f>
        <v>#REF!</v>
      </c>
      <c r="CX109" t="e">
        <f>AND(#REF!,"AAAAAH6r/2U=")</f>
        <v>#REF!</v>
      </c>
      <c r="CY109" t="e">
        <f>AND(#REF!,"AAAAAH6r/2Y=")</f>
        <v>#REF!</v>
      </c>
      <c r="CZ109" t="e">
        <f>AND(#REF!,"AAAAAH6r/2c=")</f>
        <v>#REF!</v>
      </c>
      <c r="DA109" t="e">
        <f>AND(#REF!,"AAAAAH6r/2g=")</f>
        <v>#REF!</v>
      </c>
      <c r="DB109" t="e">
        <f>AND(#REF!,"AAAAAH6r/2k=")</f>
        <v>#REF!</v>
      </c>
      <c r="DC109" t="e">
        <f>AND(#REF!,"AAAAAH6r/2o=")</f>
        <v>#REF!</v>
      </c>
      <c r="DD109" t="e">
        <f>AND(#REF!,"AAAAAH6r/2s=")</f>
        <v>#REF!</v>
      </c>
      <c r="DE109" t="e">
        <f>AND(#REF!,"AAAAAH6r/2w=")</f>
        <v>#REF!</v>
      </c>
      <c r="DF109" t="e">
        <f>AND(#REF!,"AAAAAH6r/20=")</f>
        <v>#REF!</v>
      </c>
      <c r="DG109" t="e">
        <f>AND(#REF!,"AAAAAH6r/24=")</f>
        <v>#REF!</v>
      </c>
      <c r="DH109" t="e">
        <f>AND(#REF!,"AAAAAH6r/28=")</f>
        <v>#REF!</v>
      </c>
      <c r="DI109" t="e">
        <f>AND(#REF!,"AAAAAH6r/3A=")</f>
        <v>#REF!</v>
      </c>
      <c r="DJ109" t="e">
        <f>AND(#REF!,"AAAAAH6r/3E=")</f>
        <v>#REF!</v>
      </c>
      <c r="DK109" t="e">
        <f>AND(#REF!,"AAAAAH6r/3I=")</f>
        <v>#REF!</v>
      </c>
      <c r="DL109" t="e">
        <f>AND(#REF!,"AAAAAH6r/3M=")</f>
        <v>#REF!</v>
      </c>
      <c r="DM109" t="e">
        <f>AND(#REF!,"AAAAAH6r/3Q=")</f>
        <v>#REF!</v>
      </c>
      <c r="DN109" t="e">
        <f>AND(#REF!,"AAAAAH6r/3U=")</f>
        <v>#REF!</v>
      </c>
      <c r="DO109" t="e">
        <f>IF(#REF!,"AAAAAH6r/3Y=",0)</f>
        <v>#REF!</v>
      </c>
      <c r="DP109" t="e">
        <f>AND(#REF!,"AAAAAH6r/3c=")</f>
        <v>#REF!</v>
      </c>
      <c r="DQ109" t="e">
        <f>AND(#REF!,"AAAAAH6r/3g=")</f>
        <v>#REF!</v>
      </c>
      <c r="DR109" t="e">
        <f>AND(#REF!,"AAAAAH6r/3k=")</f>
        <v>#REF!</v>
      </c>
      <c r="DS109" t="e">
        <f>AND(#REF!,"AAAAAH6r/3o=")</f>
        <v>#REF!</v>
      </c>
      <c r="DT109" t="e">
        <f>AND(#REF!,"AAAAAH6r/3s=")</f>
        <v>#REF!</v>
      </c>
      <c r="DU109" t="e">
        <f>AND(#REF!,"AAAAAH6r/3w=")</f>
        <v>#REF!</v>
      </c>
      <c r="DV109" t="e">
        <f>AND(#REF!,"AAAAAH6r/30=")</f>
        <v>#REF!</v>
      </c>
      <c r="DW109" t="e">
        <f>AND(#REF!,"AAAAAH6r/34=")</f>
        <v>#REF!</v>
      </c>
      <c r="DX109" t="e">
        <f>AND(#REF!,"AAAAAH6r/38=")</f>
        <v>#REF!</v>
      </c>
      <c r="DY109" t="e">
        <f>AND(#REF!,"AAAAAH6r/4A=")</f>
        <v>#REF!</v>
      </c>
      <c r="DZ109" t="e">
        <f>AND(#REF!,"AAAAAH6r/4E=")</f>
        <v>#REF!</v>
      </c>
      <c r="EA109" t="e">
        <f>AND(#REF!,"AAAAAH6r/4I=")</f>
        <v>#REF!</v>
      </c>
      <c r="EB109" t="e">
        <f>AND(#REF!,"AAAAAH6r/4M=")</f>
        <v>#REF!</v>
      </c>
      <c r="EC109" t="e">
        <f>AND(#REF!,"AAAAAH6r/4Q=")</f>
        <v>#REF!</v>
      </c>
      <c r="ED109" t="e">
        <f>AND(#REF!,"AAAAAH6r/4U=")</f>
        <v>#REF!</v>
      </c>
      <c r="EE109" t="e">
        <f>AND(#REF!,"AAAAAH6r/4Y=")</f>
        <v>#REF!</v>
      </c>
      <c r="EF109" t="e">
        <f>AND(#REF!,"AAAAAH6r/4c=")</f>
        <v>#REF!</v>
      </c>
      <c r="EG109" t="e">
        <f>AND(#REF!,"AAAAAH6r/4g=")</f>
        <v>#REF!</v>
      </c>
      <c r="EH109" t="e">
        <f>AND(#REF!,"AAAAAH6r/4k=")</f>
        <v>#REF!</v>
      </c>
      <c r="EI109" t="e">
        <f>AND(#REF!,"AAAAAH6r/4o=")</f>
        <v>#REF!</v>
      </c>
      <c r="EJ109" t="e">
        <f>AND(#REF!,"AAAAAH6r/4s=")</f>
        <v>#REF!</v>
      </c>
      <c r="EK109" t="e">
        <f>AND(#REF!,"AAAAAH6r/4w=")</f>
        <v>#REF!</v>
      </c>
      <c r="EL109" t="e">
        <f>AND(#REF!,"AAAAAH6r/40=")</f>
        <v>#REF!</v>
      </c>
      <c r="EM109" t="e">
        <f>AND(#REF!,"AAAAAH6r/44=")</f>
        <v>#REF!</v>
      </c>
      <c r="EN109" t="e">
        <f>AND(#REF!,"AAAAAH6r/48=")</f>
        <v>#REF!</v>
      </c>
      <c r="EO109" t="e">
        <f>AND(#REF!,"AAAAAH6r/5A=")</f>
        <v>#REF!</v>
      </c>
      <c r="EP109" t="e">
        <f>IF(#REF!,"AAAAAH6r/5E=",0)</f>
        <v>#REF!</v>
      </c>
      <c r="EQ109" t="e">
        <f>AND(#REF!,"AAAAAH6r/5I=")</f>
        <v>#REF!</v>
      </c>
      <c r="ER109" t="e">
        <f>AND(#REF!,"AAAAAH6r/5M=")</f>
        <v>#REF!</v>
      </c>
      <c r="ES109" t="e">
        <f>AND(#REF!,"AAAAAH6r/5Q=")</f>
        <v>#REF!</v>
      </c>
      <c r="ET109" t="e">
        <f>AND(#REF!,"AAAAAH6r/5U=")</f>
        <v>#REF!</v>
      </c>
      <c r="EU109" t="e">
        <f>AND(#REF!,"AAAAAH6r/5Y=")</f>
        <v>#REF!</v>
      </c>
      <c r="EV109" t="e">
        <f>AND(#REF!,"AAAAAH6r/5c=")</f>
        <v>#REF!</v>
      </c>
      <c r="EW109" t="e">
        <f>AND(#REF!,"AAAAAH6r/5g=")</f>
        <v>#REF!</v>
      </c>
      <c r="EX109" t="e">
        <f>AND(#REF!,"AAAAAH6r/5k=")</f>
        <v>#REF!</v>
      </c>
      <c r="EY109" t="e">
        <f>AND(#REF!,"AAAAAH6r/5o=")</f>
        <v>#REF!</v>
      </c>
      <c r="EZ109" t="e">
        <f>AND(#REF!,"AAAAAH6r/5s=")</f>
        <v>#REF!</v>
      </c>
      <c r="FA109" t="e">
        <f>AND(#REF!,"AAAAAH6r/5w=")</f>
        <v>#REF!</v>
      </c>
      <c r="FB109" t="e">
        <f>AND(#REF!,"AAAAAH6r/50=")</f>
        <v>#REF!</v>
      </c>
      <c r="FC109" t="e">
        <f>AND(#REF!,"AAAAAH6r/54=")</f>
        <v>#REF!</v>
      </c>
      <c r="FD109" t="e">
        <f>AND(#REF!,"AAAAAH6r/58=")</f>
        <v>#REF!</v>
      </c>
      <c r="FE109" t="e">
        <f>AND(#REF!,"AAAAAH6r/6A=")</f>
        <v>#REF!</v>
      </c>
      <c r="FF109" t="e">
        <f>AND(#REF!,"AAAAAH6r/6E=")</f>
        <v>#REF!</v>
      </c>
      <c r="FG109" t="e">
        <f>AND(#REF!,"AAAAAH6r/6I=")</f>
        <v>#REF!</v>
      </c>
      <c r="FH109" t="e">
        <f>AND(#REF!,"AAAAAH6r/6M=")</f>
        <v>#REF!</v>
      </c>
      <c r="FI109" t="e">
        <f>AND(#REF!,"AAAAAH6r/6Q=")</f>
        <v>#REF!</v>
      </c>
      <c r="FJ109" t="e">
        <f>AND(#REF!,"AAAAAH6r/6U=")</f>
        <v>#REF!</v>
      </c>
      <c r="FK109" t="e">
        <f>AND(#REF!,"AAAAAH6r/6Y=")</f>
        <v>#REF!</v>
      </c>
      <c r="FL109" t="e">
        <f>AND(#REF!,"AAAAAH6r/6c=")</f>
        <v>#REF!</v>
      </c>
      <c r="FM109" t="e">
        <f>AND(#REF!,"AAAAAH6r/6g=")</f>
        <v>#REF!</v>
      </c>
      <c r="FN109" t="e">
        <f>AND(#REF!,"AAAAAH6r/6k=")</f>
        <v>#REF!</v>
      </c>
      <c r="FO109" t="e">
        <f>AND(#REF!,"AAAAAH6r/6o=")</f>
        <v>#REF!</v>
      </c>
      <c r="FP109" t="e">
        <f>AND(#REF!,"AAAAAH6r/6s=")</f>
        <v>#REF!</v>
      </c>
      <c r="FQ109" t="e">
        <f>IF(#REF!,"AAAAAH6r/6w=",0)</f>
        <v>#REF!</v>
      </c>
      <c r="FR109" t="e">
        <f>AND(#REF!,"AAAAAH6r/60=")</f>
        <v>#REF!</v>
      </c>
      <c r="FS109" t="e">
        <f>AND(#REF!,"AAAAAH6r/64=")</f>
        <v>#REF!</v>
      </c>
      <c r="FT109" t="e">
        <f>AND(#REF!,"AAAAAH6r/68=")</f>
        <v>#REF!</v>
      </c>
      <c r="FU109" t="e">
        <f>AND(#REF!,"AAAAAH6r/7A=")</f>
        <v>#REF!</v>
      </c>
      <c r="FV109" t="e">
        <f>AND(#REF!,"AAAAAH6r/7E=")</f>
        <v>#REF!</v>
      </c>
      <c r="FW109" t="e">
        <f>AND(#REF!,"AAAAAH6r/7I=")</f>
        <v>#REF!</v>
      </c>
      <c r="FX109" t="e">
        <f>AND(#REF!,"AAAAAH6r/7M=")</f>
        <v>#REF!</v>
      </c>
      <c r="FY109" t="e">
        <f>AND(#REF!,"AAAAAH6r/7Q=")</f>
        <v>#REF!</v>
      </c>
      <c r="FZ109" t="e">
        <f>AND(#REF!,"AAAAAH6r/7U=")</f>
        <v>#REF!</v>
      </c>
      <c r="GA109" t="e">
        <f>AND(#REF!,"AAAAAH6r/7Y=")</f>
        <v>#REF!</v>
      </c>
      <c r="GB109" t="e">
        <f>AND(#REF!,"AAAAAH6r/7c=")</f>
        <v>#REF!</v>
      </c>
      <c r="GC109" t="e">
        <f>AND(#REF!,"AAAAAH6r/7g=")</f>
        <v>#REF!</v>
      </c>
      <c r="GD109" t="e">
        <f>AND(#REF!,"AAAAAH6r/7k=")</f>
        <v>#REF!</v>
      </c>
      <c r="GE109" t="e">
        <f>AND(#REF!,"AAAAAH6r/7o=")</f>
        <v>#REF!</v>
      </c>
      <c r="GF109" t="e">
        <f>AND(#REF!,"AAAAAH6r/7s=")</f>
        <v>#REF!</v>
      </c>
      <c r="GG109" t="e">
        <f>AND(#REF!,"AAAAAH6r/7w=")</f>
        <v>#REF!</v>
      </c>
      <c r="GH109" t="e">
        <f>AND(#REF!,"AAAAAH6r/70=")</f>
        <v>#REF!</v>
      </c>
      <c r="GI109" t="e">
        <f>AND(#REF!,"AAAAAH6r/74=")</f>
        <v>#REF!</v>
      </c>
      <c r="GJ109" t="e">
        <f>AND(#REF!,"AAAAAH6r/78=")</f>
        <v>#REF!</v>
      </c>
      <c r="GK109" t="e">
        <f>AND(#REF!,"AAAAAH6r/8A=")</f>
        <v>#REF!</v>
      </c>
      <c r="GL109" t="e">
        <f>AND(#REF!,"AAAAAH6r/8E=")</f>
        <v>#REF!</v>
      </c>
      <c r="GM109" t="e">
        <f>AND(#REF!,"AAAAAH6r/8I=")</f>
        <v>#REF!</v>
      </c>
      <c r="GN109" t="e">
        <f>AND(#REF!,"AAAAAH6r/8M=")</f>
        <v>#REF!</v>
      </c>
      <c r="GO109" t="e">
        <f>AND(#REF!,"AAAAAH6r/8Q=")</f>
        <v>#REF!</v>
      </c>
      <c r="GP109" t="e">
        <f>AND(#REF!,"AAAAAH6r/8U=")</f>
        <v>#REF!</v>
      </c>
      <c r="GQ109" t="e">
        <f>AND(#REF!,"AAAAAH6r/8Y=")</f>
        <v>#REF!</v>
      </c>
      <c r="GR109" t="e">
        <f>IF(#REF!,"AAAAAH6r/8c=",0)</f>
        <v>#REF!</v>
      </c>
      <c r="GS109" t="e">
        <f>AND(#REF!,"AAAAAH6r/8g=")</f>
        <v>#REF!</v>
      </c>
      <c r="GT109" t="e">
        <f>AND(#REF!,"AAAAAH6r/8k=")</f>
        <v>#REF!</v>
      </c>
      <c r="GU109" t="e">
        <f>AND(#REF!,"AAAAAH6r/8o=")</f>
        <v>#REF!</v>
      </c>
      <c r="GV109" t="e">
        <f>AND(#REF!,"AAAAAH6r/8s=")</f>
        <v>#REF!</v>
      </c>
      <c r="GW109" t="e">
        <f>AND(#REF!,"AAAAAH6r/8w=")</f>
        <v>#REF!</v>
      </c>
      <c r="GX109" t="e">
        <f>AND(#REF!,"AAAAAH6r/80=")</f>
        <v>#REF!</v>
      </c>
      <c r="GY109" t="e">
        <f>AND(#REF!,"AAAAAH6r/84=")</f>
        <v>#REF!</v>
      </c>
      <c r="GZ109" t="e">
        <f>AND(#REF!,"AAAAAH6r/88=")</f>
        <v>#REF!</v>
      </c>
      <c r="HA109" t="e">
        <f>AND(#REF!,"AAAAAH6r/9A=")</f>
        <v>#REF!</v>
      </c>
      <c r="HB109" t="e">
        <f>AND(#REF!,"AAAAAH6r/9E=")</f>
        <v>#REF!</v>
      </c>
      <c r="HC109" t="e">
        <f>AND(#REF!,"AAAAAH6r/9I=")</f>
        <v>#REF!</v>
      </c>
      <c r="HD109" t="e">
        <f>AND(#REF!,"AAAAAH6r/9M=")</f>
        <v>#REF!</v>
      </c>
      <c r="HE109" t="e">
        <f>AND(#REF!,"AAAAAH6r/9Q=")</f>
        <v>#REF!</v>
      </c>
      <c r="HF109" t="e">
        <f>AND(#REF!,"AAAAAH6r/9U=")</f>
        <v>#REF!</v>
      </c>
      <c r="HG109" t="e">
        <f>AND(#REF!,"AAAAAH6r/9Y=")</f>
        <v>#REF!</v>
      </c>
      <c r="HH109" t="e">
        <f>AND(#REF!,"AAAAAH6r/9c=")</f>
        <v>#REF!</v>
      </c>
      <c r="HI109" t="e">
        <f>AND(#REF!,"AAAAAH6r/9g=")</f>
        <v>#REF!</v>
      </c>
      <c r="HJ109" t="e">
        <f>AND(#REF!,"AAAAAH6r/9k=")</f>
        <v>#REF!</v>
      </c>
      <c r="HK109" t="e">
        <f>AND(#REF!,"AAAAAH6r/9o=")</f>
        <v>#REF!</v>
      </c>
      <c r="HL109" t="e">
        <f>AND(#REF!,"AAAAAH6r/9s=")</f>
        <v>#REF!</v>
      </c>
      <c r="HM109" t="e">
        <f>AND(#REF!,"AAAAAH6r/9w=")</f>
        <v>#REF!</v>
      </c>
      <c r="HN109" t="e">
        <f>AND(#REF!,"AAAAAH6r/90=")</f>
        <v>#REF!</v>
      </c>
      <c r="HO109" t="e">
        <f>AND(#REF!,"AAAAAH6r/94=")</f>
        <v>#REF!</v>
      </c>
      <c r="HP109" t="e">
        <f>AND(#REF!,"AAAAAH6r/98=")</f>
        <v>#REF!</v>
      </c>
      <c r="HQ109" t="e">
        <f>AND(#REF!,"AAAAAH6r/+A=")</f>
        <v>#REF!</v>
      </c>
      <c r="HR109" t="e">
        <f>AND(#REF!,"AAAAAH6r/+E=")</f>
        <v>#REF!</v>
      </c>
      <c r="HS109" t="e">
        <f>IF(#REF!,"AAAAAH6r/+I=",0)</f>
        <v>#REF!</v>
      </c>
      <c r="HT109" t="e">
        <f>AND(#REF!,"AAAAAH6r/+M=")</f>
        <v>#REF!</v>
      </c>
      <c r="HU109" t="e">
        <f>AND(#REF!,"AAAAAH6r/+Q=")</f>
        <v>#REF!</v>
      </c>
      <c r="HV109" t="e">
        <f>AND(#REF!,"AAAAAH6r/+U=")</f>
        <v>#REF!</v>
      </c>
      <c r="HW109" t="e">
        <f>AND(#REF!,"AAAAAH6r/+Y=")</f>
        <v>#REF!</v>
      </c>
      <c r="HX109" t="e">
        <f>AND(#REF!,"AAAAAH6r/+c=")</f>
        <v>#REF!</v>
      </c>
      <c r="HY109" t="e">
        <f>AND(#REF!,"AAAAAH6r/+g=")</f>
        <v>#REF!</v>
      </c>
      <c r="HZ109" t="e">
        <f>AND(#REF!,"AAAAAH6r/+k=")</f>
        <v>#REF!</v>
      </c>
      <c r="IA109" t="e">
        <f>AND(#REF!,"AAAAAH6r/+o=")</f>
        <v>#REF!</v>
      </c>
      <c r="IB109" t="e">
        <f>AND(#REF!,"AAAAAH6r/+s=")</f>
        <v>#REF!</v>
      </c>
      <c r="IC109" t="e">
        <f>AND(#REF!,"AAAAAH6r/+w=")</f>
        <v>#REF!</v>
      </c>
      <c r="ID109" t="e">
        <f>AND(#REF!,"AAAAAH6r/+0=")</f>
        <v>#REF!</v>
      </c>
      <c r="IE109" t="e">
        <f>AND(#REF!,"AAAAAH6r/+4=")</f>
        <v>#REF!</v>
      </c>
      <c r="IF109" t="e">
        <f>AND(#REF!,"AAAAAH6r/+8=")</f>
        <v>#REF!</v>
      </c>
      <c r="IG109" t="e">
        <f>AND(#REF!,"AAAAAH6r//A=")</f>
        <v>#REF!</v>
      </c>
      <c r="IH109" t="e">
        <f>AND(#REF!,"AAAAAH6r//E=")</f>
        <v>#REF!</v>
      </c>
      <c r="II109" t="e">
        <f>AND(#REF!,"AAAAAH6r//I=")</f>
        <v>#REF!</v>
      </c>
      <c r="IJ109" t="e">
        <f>AND(#REF!,"AAAAAH6r//M=")</f>
        <v>#REF!</v>
      </c>
      <c r="IK109" t="e">
        <f>AND(#REF!,"AAAAAH6r//Q=")</f>
        <v>#REF!</v>
      </c>
      <c r="IL109" t="e">
        <f>AND(#REF!,"AAAAAH6r//U=")</f>
        <v>#REF!</v>
      </c>
      <c r="IM109" t="e">
        <f>AND(#REF!,"AAAAAH6r//Y=")</f>
        <v>#REF!</v>
      </c>
      <c r="IN109" t="e">
        <f>AND(#REF!,"AAAAAH6r//c=")</f>
        <v>#REF!</v>
      </c>
      <c r="IO109" t="e">
        <f>AND(#REF!,"AAAAAH6r//g=")</f>
        <v>#REF!</v>
      </c>
      <c r="IP109" t="e">
        <f>AND(#REF!,"AAAAAH6r//k=")</f>
        <v>#REF!</v>
      </c>
      <c r="IQ109" t="e">
        <f>AND(#REF!,"AAAAAH6r//o=")</f>
        <v>#REF!</v>
      </c>
      <c r="IR109" t="e">
        <f>AND(#REF!,"AAAAAH6r//s=")</f>
        <v>#REF!</v>
      </c>
      <c r="IS109" t="e">
        <f>AND(#REF!,"AAAAAH6r//w=")</f>
        <v>#REF!</v>
      </c>
      <c r="IT109" t="e">
        <f>IF(#REF!,"AAAAAH6r//0=",0)</f>
        <v>#REF!</v>
      </c>
      <c r="IU109" t="e">
        <f>AND(#REF!,"AAAAAH6r//4=")</f>
        <v>#REF!</v>
      </c>
      <c r="IV109" t="e">
        <f>AND(#REF!,"AAAAAH6r//8=")</f>
        <v>#REF!</v>
      </c>
    </row>
    <row r="110" spans="1:256" x14ac:dyDescent="0.2">
      <c r="A110" t="e">
        <f>AND(#REF!,"AAAAAH/ezgA=")</f>
        <v>#REF!</v>
      </c>
      <c r="B110" t="e">
        <f>AND(#REF!,"AAAAAH/ezgE=")</f>
        <v>#REF!</v>
      </c>
      <c r="C110" t="e">
        <f>AND(#REF!,"AAAAAH/ezgI=")</f>
        <v>#REF!</v>
      </c>
      <c r="D110" t="e">
        <f>AND(#REF!,"AAAAAH/ezgM=")</f>
        <v>#REF!</v>
      </c>
      <c r="E110" t="e">
        <f>AND(#REF!,"AAAAAH/ezgQ=")</f>
        <v>#REF!</v>
      </c>
      <c r="F110" t="e">
        <f>AND(#REF!,"AAAAAH/ezgU=")</f>
        <v>#REF!</v>
      </c>
      <c r="G110" t="e">
        <f>AND(#REF!,"AAAAAH/ezgY=")</f>
        <v>#REF!</v>
      </c>
      <c r="H110" t="e">
        <f>AND(#REF!,"AAAAAH/ezgc=")</f>
        <v>#REF!</v>
      </c>
      <c r="I110" t="e">
        <f>AND(#REF!,"AAAAAH/ezgg=")</f>
        <v>#REF!</v>
      </c>
      <c r="J110" t="e">
        <f>AND(#REF!,"AAAAAH/ezgk=")</f>
        <v>#REF!</v>
      </c>
      <c r="K110" t="e">
        <f>AND(#REF!,"AAAAAH/ezgo=")</f>
        <v>#REF!</v>
      </c>
      <c r="L110" t="e">
        <f>AND(#REF!,"AAAAAH/ezgs=")</f>
        <v>#REF!</v>
      </c>
      <c r="M110" t="e">
        <f>AND(#REF!,"AAAAAH/ezgw=")</f>
        <v>#REF!</v>
      </c>
      <c r="N110" t="e">
        <f>AND(#REF!,"AAAAAH/ezg0=")</f>
        <v>#REF!</v>
      </c>
      <c r="O110" t="e">
        <f>AND(#REF!,"AAAAAH/ezg4=")</f>
        <v>#REF!</v>
      </c>
      <c r="P110" t="e">
        <f>AND(#REF!,"AAAAAH/ezg8=")</f>
        <v>#REF!</v>
      </c>
      <c r="Q110" t="e">
        <f>AND(#REF!,"AAAAAH/ezhA=")</f>
        <v>#REF!</v>
      </c>
      <c r="R110" t="e">
        <f>AND(#REF!,"AAAAAH/ezhE=")</f>
        <v>#REF!</v>
      </c>
      <c r="S110" t="e">
        <f>AND(#REF!,"AAAAAH/ezhI=")</f>
        <v>#REF!</v>
      </c>
      <c r="T110" t="e">
        <f>AND(#REF!,"AAAAAH/ezhM=")</f>
        <v>#REF!</v>
      </c>
      <c r="U110" t="e">
        <f>AND(#REF!,"AAAAAH/ezhQ=")</f>
        <v>#REF!</v>
      </c>
      <c r="V110" t="e">
        <f>AND(#REF!,"AAAAAH/ezhU=")</f>
        <v>#REF!</v>
      </c>
      <c r="W110" t="e">
        <f>AND(#REF!,"AAAAAH/ezhY=")</f>
        <v>#REF!</v>
      </c>
      <c r="X110" t="e">
        <f>AND(#REF!,"AAAAAH/ezhc=")</f>
        <v>#REF!</v>
      </c>
      <c r="Y110" t="e">
        <f>IF(#REF!,"AAAAAH/ezhg=",0)</f>
        <v>#REF!</v>
      </c>
      <c r="Z110" t="e">
        <f>AND(#REF!,"AAAAAH/ezhk=")</f>
        <v>#REF!</v>
      </c>
      <c r="AA110" t="e">
        <f>AND(#REF!,"AAAAAH/ezho=")</f>
        <v>#REF!</v>
      </c>
      <c r="AB110" t="e">
        <f>AND(#REF!,"AAAAAH/ezhs=")</f>
        <v>#REF!</v>
      </c>
      <c r="AC110" t="e">
        <f>AND(#REF!,"AAAAAH/ezhw=")</f>
        <v>#REF!</v>
      </c>
      <c r="AD110" t="e">
        <f>AND(#REF!,"AAAAAH/ezh0=")</f>
        <v>#REF!</v>
      </c>
      <c r="AE110" t="e">
        <f>AND(#REF!,"AAAAAH/ezh4=")</f>
        <v>#REF!</v>
      </c>
      <c r="AF110" t="e">
        <f>AND(#REF!,"AAAAAH/ezh8=")</f>
        <v>#REF!</v>
      </c>
      <c r="AG110" t="e">
        <f>AND(#REF!,"AAAAAH/eziA=")</f>
        <v>#REF!</v>
      </c>
      <c r="AH110" t="e">
        <f>AND(#REF!,"AAAAAH/eziE=")</f>
        <v>#REF!</v>
      </c>
      <c r="AI110" t="e">
        <f>AND(#REF!,"AAAAAH/eziI=")</f>
        <v>#REF!</v>
      </c>
      <c r="AJ110" t="e">
        <f>AND(#REF!,"AAAAAH/eziM=")</f>
        <v>#REF!</v>
      </c>
      <c r="AK110" t="e">
        <f>AND(#REF!,"AAAAAH/eziQ=")</f>
        <v>#REF!</v>
      </c>
      <c r="AL110" t="e">
        <f>AND(#REF!,"AAAAAH/eziU=")</f>
        <v>#REF!</v>
      </c>
      <c r="AM110" t="e">
        <f>AND(#REF!,"AAAAAH/eziY=")</f>
        <v>#REF!</v>
      </c>
      <c r="AN110" t="e">
        <f>AND(#REF!,"AAAAAH/ezic=")</f>
        <v>#REF!</v>
      </c>
      <c r="AO110" t="e">
        <f>AND(#REF!,"AAAAAH/ezig=")</f>
        <v>#REF!</v>
      </c>
      <c r="AP110" t="e">
        <f>AND(#REF!,"AAAAAH/ezik=")</f>
        <v>#REF!</v>
      </c>
      <c r="AQ110" t="e">
        <f>AND(#REF!,"AAAAAH/ezio=")</f>
        <v>#REF!</v>
      </c>
      <c r="AR110" t="e">
        <f>AND(#REF!,"AAAAAH/ezis=")</f>
        <v>#REF!</v>
      </c>
      <c r="AS110" t="e">
        <f>AND(#REF!,"AAAAAH/eziw=")</f>
        <v>#REF!</v>
      </c>
      <c r="AT110" t="e">
        <f>AND(#REF!,"AAAAAH/ezi0=")</f>
        <v>#REF!</v>
      </c>
      <c r="AU110" t="e">
        <f>AND(#REF!,"AAAAAH/ezi4=")</f>
        <v>#REF!</v>
      </c>
      <c r="AV110" t="e">
        <f>AND(#REF!,"AAAAAH/ezi8=")</f>
        <v>#REF!</v>
      </c>
      <c r="AW110" t="e">
        <f>AND(#REF!,"AAAAAH/ezjA=")</f>
        <v>#REF!</v>
      </c>
      <c r="AX110" t="e">
        <f>AND(#REF!,"AAAAAH/ezjE=")</f>
        <v>#REF!</v>
      </c>
      <c r="AY110" t="e">
        <f>AND(#REF!,"AAAAAH/ezjI=")</f>
        <v>#REF!</v>
      </c>
      <c r="AZ110" t="e">
        <f>IF(#REF!,"AAAAAH/ezjM=",0)</f>
        <v>#REF!</v>
      </c>
      <c r="BA110" t="e">
        <f>AND(#REF!,"AAAAAH/ezjQ=")</f>
        <v>#REF!</v>
      </c>
      <c r="BB110" t="e">
        <f>AND(#REF!,"AAAAAH/ezjU=")</f>
        <v>#REF!</v>
      </c>
      <c r="BC110" t="e">
        <f>AND(#REF!,"AAAAAH/ezjY=")</f>
        <v>#REF!</v>
      </c>
      <c r="BD110" t="e">
        <f>AND(#REF!,"AAAAAH/ezjc=")</f>
        <v>#REF!</v>
      </c>
      <c r="BE110" t="e">
        <f>AND(#REF!,"AAAAAH/ezjg=")</f>
        <v>#REF!</v>
      </c>
      <c r="BF110" t="e">
        <f>AND(#REF!,"AAAAAH/ezjk=")</f>
        <v>#REF!</v>
      </c>
      <c r="BG110" t="e">
        <f>AND(#REF!,"AAAAAH/ezjo=")</f>
        <v>#REF!</v>
      </c>
      <c r="BH110" t="e">
        <f>AND(#REF!,"AAAAAH/ezjs=")</f>
        <v>#REF!</v>
      </c>
      <c r="BI110" t="e">
        <f>AND(#REF!,"AAAAAH/ezjw=")</f>
        <v>#REF!</v>
      </c>
      <c r="BJ110" t="e">
        <f>AND(#REF!,"AAAAAH/ezj0=")</f>
        <v>#REF!</v>
      </c>
      <c r="BK110" t="e">
        <f>AND(#REF!,"AAAAAH/ezj4=")</f>
        <v>#REF!</v>
      </c>
      <c r="BL110" t="e">
        <f>AND(#REF!,"AAAAAH/ezj8=")</f>
        <v>#REF!</v>
      </c>
      <c r="BM110" t="e">
        <f>AND(#REF!,"AAAAAH/ezkA=")</f>
        <v>#REF!</v>
      </c>
      <c r="BN110" t="e">
        <f>AND(#REF!,"AAAAAH/ezkE=")</f>
        <v>#REF!</v>
      </c>
      <c r="BO110" t="e">
        <f>AND(#REF!,"AAAAAH/ezkI=")</f>
        <v>#REF!</v>
      </c>
      <c r="BP110" t="e">
        <f>AND(#REF!,"AAAAAH/ezkM=")</f>
        <v>#REF!</v>
      </c>
      <c r="BQ110" t="e">
        <f>AND(#REF!,"AAAAAH/ezkQ=")</f>
        <v>#REF!</v>
      </c>
      <c r="BR110" t="e">
        <f>AND(#REF!,"AAAAAH/ezkU=")</f>
        <v>#REF!</v>
      </c>
      <c r="BS110" t="e">
        <f>AND(#REF!,"AAAAAH/ezkY=")</f>
        <v>#REF!</v>
      </c>
      <c r="BT110" t="e">
        <f>AND(#REF!,"AAAAAH/ezkc=")</f>
        <v>#REF!</v>
      </c>
      <c r="BU110" t="e">
        <f>AND(#REF!,"AAAAAH/ezkg=")</f>
        <v>#REF!</v>
      </c>
      <c r="BV110" t="e">
        <f>AND(#REF!,"AAAAAH/ezkk=")</f>
        <v>#REF!</v>
      </c>
      <c r="BW110" t="e">
        <f>AND(#REF!,"AAAAAH/ezko=")</f>
        <v>#REF!</v>
      </c>
      <c r="BX110" t="e">
        <f>AND(#REF!,"AAAAAH/ezks=")</f>
        <v>#REF!</v>
      </c>
      <c r="BY110" t="e">
        <f>AND(#REF!,"AAAAAH/ezkw=")</f>
        <v>#REF!</v>
      </c>
      <c r="BZ110" t="e">
        <f>AND(#REF!,"AAAAAH/ezk0=")</f>
        <v>#REF!</v>
      </c>
      <c r="CA110" t="e">
        <f>IF(#REF!,"AAAAAH/ezk4=",0)</f>
        <v>#REF!</v>
      </c>
      <c r="CB110" t="e">
        <f>IF(#REF!,"AAAAAH/ezk8=",0)</f>
        <v>#REF!</v>
      </c>
      <c r="CC110" t="e">
        <f>IF(#REF!,"AAAAAH/ezlA=",0)</f>
        <v>#REF!</v>
      </c>
      <c r="CD110" t="e">
        <f>IF(#REF!,"AAAAAH/ezlE=",0)</f>
        <v>#REF!</v>
      </c>
      <c r="CE110" t="e">
        <f>IF(#REF!,"AAAAAH/ezlI=",0)</f>
        <v>#REF!</v>
      </c>
      <c r="CF110" t="e">
        <f>IF(#REF!,"AAAAAH/ezlM=",0)</f>
        <v>#REF!</v>
      </c>
      <c r="CG110" t="e">
        <f>IF(#REF!,"AAAAAH/ezlQ=",0)</f>
        <v>#REF!</v>
      </c>
      <c r="CH110" t="e">
        <f>IF(#REF!,"AAAAAH/ezlU=",0)</f>
        <v>#REF!</v>
      </c>
      <c r="CI110" t="e">
        <f>IF(#REF!,"AAAAAH/ezlY=",0)</f>
        <v>#REF!</v>
      </c>
      <c r="CJ110" t="e">
        <f>IF(#REF!,"AAAAAH/ezlc=",0)</f>
        <v>#REF!</v>
      </c>
      <c r="CK110" t="e">
        <f>IF(#REF!,"AAAAAH/ezlg=",0)</f>
        <v>#REF!</v>
      </c>
      <c r="CL110" t="e">
        <f>IF(#REF!,"AAAAAH/ezlk=",0)</f>
        <v>#REF!</v>
      </c>
      <c r="CM110" t="e">
        <f>IF(#REF!,"AAAAAH/ezlo=",0)</f>
        <v>#REF!</v>
      </c>
      <c r="CN110" t="e">
        <f>IF(#REF!,"AAAAAH/ezls=",0)</f>
        <v>#REF!</v>
      </c>
      <c r="CO110" t="e">
        <f>IF(#REF!,"AAAAAH/ezlw=",0)</f>
        <v>#REF!</v>
      </c>
      <c r="CP110" t="e">
        <f>IF(#REF!,"AAAAAH/ezl0=",0)</f>
        <v>#REF!</v>
      </c>
      <c r="CQ110" t="e">
        <f>IF(#REF!,"AAAAAH/ezl4=",0)</f>
        <v>#REF!</v>
      </c>
      <c r="CR110" t="e">
        <f>IF(#REF!,"AAAAAH/ezl8=",0)</f>
        <v>#REF!</v>
      </c>
      <c r="CS110" t="e">
        <f>IF(#REF!,"AAAAAH/ezmA=",0)</f>
        <v>#REF!</v>
      </c>
      <c r="CT110" t="e">
        <f>IF(#REF!,"AAAAAH/ezmE=",0)</f>
        <v>#REF!</v>
      </c>
      <c r="CU110" t="e">
        <f>IF(#REF!,"AAAAAH/ezmI=",0)</f>
        <v>#REF!</v>
      </c>
      <c r="CV110" t="e">
        <f>IF(#REF!,"AAAAAH/ezmM=",0)</f>
        <v>#REF!</v>
      </c>
      <c r="CW110" t="e">
        <f>IF(#REF!,"AAAAAH/ezmQ=",0)</f>
        <v>#REF!</v>
      </c>
      <c r="CX110" t="e">
        <f>IF(#REF!,"AAAAAH/ezmU=",0)</f>
        <v>#REF!</v>
      </c>
      <c r="CY110" t="e">
        <f>IF(#REF!,"AAAAAH/ezmY=",0)</f>
        <v>#REF!</v>
      </c>
      <c r="CZ110" t="e">
        <f>IF(#REF!,"AAAAAH/ezmc=",0)</f>
        <v>#REF!</v>
      </c>
      <c r="DA110" t="e">
        <f>IF(#REF!,"AAAAAH/ezmg=",0)</f>
        <v>#REF!</v>
      </c>
      <c r="DB110" t="e">
        <f>AND(#REF!,"AAAAAH/ezmk=")</f>
        <v>#REF!</v>
      </c>
      <c r="DC110" t="e">
        <f>AND(#REF!,"AAAAAH/ezmo=")</f>
        <v>#REF!</v>
      </c>
      <c r="DD110" t="e">
        <f>AND(#REF!,"AAAAAH/ezms=")</f>
        <v>#REF!</v>
      </c>
      <c r="DE110" t="e">
        <f>AND(#REF!,"AAAAAH/ezmw=")</f>
        <v>#REF!</v>
      </c>
      <c r="DF110" t="e">
        <f>AND(#REF!,"AAAAAH/ezm0=")</f>
        <v>#REF!</v>
      </c>
      <c r="DG110" t="e">
        <f>AND(#REF!,"AAAAAH/ezm4=")</f>
        <v>#REF!</v>
      </c>
      <c r="DH110" t="e">
        <f>AND(#REF!,"AAAAAH/ezm8=")</f>
        <v>#REF!</v>
      </c>
      <c r="DI110" t="e">
        <f>AND(#REF!,"AAAAAH/eznA=")</f>
        <v>#REF!</v>
      </c>
      <c r="DJ110" t="e">
        <f>AND(#REF!,"AAAAAH/eznE=")</f>
        <v>#REF!</v>
      </c>
      <c r="DK110" t="e">
        <f>AND(#REF!,"AAAAAH/eznI=")</f>
        <v>#REF!</v>
      </c>
      <c r="DL110" t="e">
        <f>AND(#REF!,"AAAAAH/eznM=")</f>
        <v>#REF!</v>
      </c>
      <c r="DM110" t="e">
        <f>AND(#REF!,"AAAAAH/eznQ=")</f>
        <v>#REF!</v>
      </c>
      <c r="DN110" t="e">
        <f>AND(#REF!,"AAAAAH/eznU=")</f>
        <v>#REF!</v>
      </c>
      <c r="DO110" t="e">
        <f>AND(#REF!,"AAAAAH/eznY=")</f>
        <v>#REF!</v>
      </c>
      <c r="DP110" t="e">
        <f>AND(#REF!,"AAAAAH/eznc=")</f>
        <v>#REF!</v>
      </c>
      <c r="DQ110" t="e">
        <f>AND(#REF!,"AAAAAH/ezng=")</f>
        <v>#REF!</v>
      </c>
      <c r="DR110" t="e">
        <f>AND(#REF!,"AAAAAH/eznk=")</f>
        <v>#REF!</v>
      </c>
      <c r="DS110" t="e">
        <f>AND(#REF!,"AAAAAH/ezno=")</f>
        <v>#REF!</v>
      </c>
      <c r="DT110" t="e">
        <f>AND(#REF!,"AAAAAH/ezns=")</f>
        <v>#REF!</v>
      </c>
      <c r="DU110" t="e">
        <f>AND(#REF!,"AAAAAH/eznw=")</f>
        <v>#REF!</v>
      </c>
      <c r="DV110" t="e">
        <f>AND(#REF!,"AAAAAH/ezn0=")</f>
        <v>#REF!</v>
      </c>
      <c r="DW110" t="e">
        <f>AND(#REF!,"AAAAAH/ezn4=")</f>
        <v>#REF!</v>
      </c>
      <c r="DX110" t="e">
        <f>AND(#REF!,"AAAAAH/ezn8=")</f>
        <v>#REF!</v>
      </c>
      <c r="DY110" t="e">
        <f>AND(#REF!,"AAAAAH/ezoA=")</f>
        <v>#REF!</v>
      </c>
      <c r="DZ110" t="e">
        <f>AND(#REF!,"AAAAAH/ezoE=")</f>
        <v>#REF!</v>
      </c>
      <c r="EA110" t="e">
        <f>AND(#REF!,"AAAAAH/ezoI=")</f>
        <v>#REF!</v>
      </c>
      <c r="EB110" t="e">
        <f>IF(#REF!,"AAAAAH/ezoM=",0)</f>
        <v>#REF!</v>
      </c>
      <c r="EC110" t="e">
        <f>AND(#REF!,"AAAAAH/ezoQ=")</f>
        <v>#REF!</v>
      </c>
      <c r="ED110" t="e">
        <f>AND(#REF!,"AAAAAH/ezoU=")</f>
        <v>#REF!</v>
      </c>
      <c r="EE110" t="e">
        <f>AND(#REF!,"AAAAAH/ezoY=")</f>
        <v>#REF!</v>
      </c>
      <c r="EF110" t="e">
        <f>AND(#REF!,"AAAAAH/ezoc=")</f>
        <v>#REF!</v>
      </c>
      <c r="EG110" t="e">
        <f>AND(#REF!,"AAAAAH/ezog=")</f>
        <v>#REF!</v>
      </c>
      <c r="EH110" t="e">
        <f>AND(#REF!,"AAAAAH/ezok=")</f>
        <v>#REF!</v>
      </c>
      <c r="EI110" t="e">
        <f>AND(#REF!,"AAAAAH/ezoo=")</f>
        <v>#REF!</v>
      </c>
      <c r="EJ110" t="e">
        <f>AND(#REF!,"AAAAAH/ezos=")</f>
        <v>#REF!</v>
      </c>
      <c r="EK110" t="e">
        <f>AND(#REF!,"AAAAAH/ezow=")</f>
        <v>#REF!</v>
      </c>
      <c r="EL110" t="e">
        <f>AND(#REF!,"AAAAAH/ezo0=")</f>
        <v>#REF!</v>
      </c>
      <c r="EM110" t="e">
        <f>AND(#REF!,"AAAAAH/ezo4=")</f>
        <v>#REF!</v>
      </c>
      <c r="EN110" t="e">
        <f>AND(#REF!,"AAAAAH/ezo8=")</f>
        <v>#REF!</v>
      </c>
      <c r="EO110" t="e">
        <f>AND(#REF!,"AAAAAH/ezpA=")</f>
        <v>#REF!</v>
      </c>
      <c r="EP110" t="e">
        <f>AND(#REF!,"AAAAAH/ezpE=")</f>
        <v>#REF!</v>
      </c>
      <c r="EQ110" t="e">
        <f>AND(#REF!,"AAAAAH/ezpI=")</f>
        <v>#REF!</v>
      </c>
      <c r="ER110" t="e">
        <f>AND(#REF!,"AAAAAH/ezpM=")</f>
        <v>#REF!</v>
      </c>
      <c r="ES110" t="e">
        <f>AND(#REF!,"AAAAAH/ezpQ=")</f>
        <v>#REF!</v>
      </c>
      <c r="ET110" t="e">
        <f>AND(#REF!,"AAAAAH/ezpU=")</f>
        <v>#REF!</v>
      </c>
      <c r="EU110" t="e">
        <f>AND(#REF!,"AAAAAH/ezpY=")</f>
        <v>#REF!</v>
      </c>
      <c r="EV110" t="e">
        <f>AND(#REF!,"AAAAAH/ezpc=")</f>
        <v>#REF!</v>
      </c>
      <c r="EW110" t="e">
        <f>AND(#REF!,"AAAAAH/ezpg=")</f>
        <v>#REF!</v>
      </c>
      <c r="EX110" t="e">
        <f>AND(#REF!,"AAAAAH/ezpk=")</f>
        <v>#REF!</v>
      </c>
      <c r="EY110" t="e">
        <f>AND(#REF!,"AAAAAH/ezpo=")</f>
        <v>#REF!</v>
      </c>
      <c r="EZ110" t="e">
        <f>AND(#REF!,"AAAAAH/ezps=")</f>
        <v>#REF!</v>
      </c>
      <c r="FA110" t="e">
        <f>AND(#REF!,"AAAAAH/ezpw=")</f>
        <v>#REF!</v>
      </c>
      <c r="FB110" t="e">
        <f>AND(#REF!,"AAAAAH/ezp0=")</f>
        <v>#REF!</v>
      </c>
      <c r="FC110" t="e">
        <f>IF(#REF!,"AAAAAH/ezp4=",0)</f>
        <v>#REF!</v>
      </c>
      <c r="FD110" t="e">
        <f>AND(#REF!,"AAAAAH/ezp8=")</f>
        <v>#REF!</v>
      </c>
      <c r="FE110" t="e">
        <f>AND(#REF!,"AAAAAH/ezqA=")</f>
        <v>#REF!</v>
      </c>
      <c r="FF110" t="e">
        <f>AND(#REF!,"AAAAAH/ezqE=")</f>
        <v>#REF!</v>
      </c>
      <c r="FG110" t="e">
        <f>AND(#REF!,"AAAAAH/ezqI=")</f>
        <v>#REF!</v>
      </c>
      <c r="FH110" t="e">
        <f>AND(#REF!,"AAAAAH/ezqM=")</f>
        <v>#REF!</v>
      </c>
      <c r="FI110" t="e">
        <f>AND(#REF!,"AAAAAH/ezqQ=")</f>
        <v>#REF!</v>
      </c>
      <c r="FJ110" t="e">
        <f>AND(#REF!,"AAAAAH/ezqU=")</f>
        <v>#REF!</v>
      </c>
      <c r="FK110" t="e">
        <f>AND(#REF!,"AAAAAH/ezqY=")</f>
        <v>#REF!</v>
      </c>
      <c r="FL110" t="e">
        <f>AND(#REF!,"AAAAAH/ezqc=")</f>
        <v>#REF!</v>
      </c>
      <c r="FM110" t="e">
        <f>AND(#REF!,"AAAAAH/ezqg=")</f>
        <v>#REF!</v>
      </c>
      <c r="FN110" t="e">
        <f>AND(#REF!,"AAAAAH/ezqk=")</f>
        <v>#REF!</v>
      </c>
      <c r="FO110" t="e">
        <f>AND(#REF!,"AAAAAH/ezqo=")</f>
        <v>#REF!</v>
      </c>
      <c r="FP110" t="e">
        <f>AND(#REF!,"AAAAAH/ezqs=")</f>
        <v>#REF!</v>
      </c>
      <c r="FQ110" t="e">
        <f>AND(#REF!,"AAAAAH/ezqw=")</f>
        <v>#REF!</v>
      </c>
      <c r="FR110" t="e">
        <f>AND(#REF!,"AAAAAH/ezq0=")</f>
        <v>#REF!</v>
      </c>
      <c r="FS110" t="e">
        <f>AND(#REF!,"AAAAAH/ezq4=")</f>
        <v>#REF!</v>
      </c>
      <c r="FT110" t="e">
        <f>AND(#REF!,"AAAAAH/ezq8=")</f>
        <v>#REF!</v>
      </c>
      <c r="FU110" t="e">
        <f>AND(#REF!,"AAAAAH/ezrA=")</f>
        <v>#REF!</v>
      </c>
      <c r="FV110" t="e">
        <f>AND(#REF!,"AAAAAH/ezrE=")</f>
        <v>#REF!</v>
      </c>
      <c r="FW110" t="e">
        <f>AND(#REF!,"AAAAAH/ezrI=")</f>
        <v>#REF!</v>
      </c>
      <c r="FX110" t="e">
        <f>AND(#REF!,"AAAAAH/ezrM=")</f>
        <v>#REF!</v>
      </c>
      <c r="FY110" t="e">
        <f>AND(#REF!,"AAAAAH/ezrQ=")</f>
        <v>#REF!</v>
      </c>
      <c r="FZ110" t="e">
        <f>AND(#REF!,"AAAAAH/ezrU=")</f>
        <v>#REF!</v>
      </c>
      <c r="GA110" t="e">
        <f>AND(#REF!,"AAAAAH/ezrY=")</f>
        <v>#REF!</v>
      </c>
      <c r="GB110" t="e">
        <f>AND(#REF!,"AAAAAH/ezrc=")</f>
        <v>#REF!</v>
      </c>
      <c r="GC110" t="e">
        <f>AND(#REF!,"AAAAAH/ezrg=")</f>
        <v>#REF!</v>
      </c>
      <c r="GD110" t="e">
        <f>IF(#REF!,"AAAAAH/ezrk=",0)</f>
        <v>#REF!</v>
      </c>
      <c r="GE110" t="e">
        <f>AND(#REF!,"AAAAAH/ezro=")</f>
        <v>#REF!</v>
      </c>
      <c r="GF110" t="e">
        <f>AND(#REF!,"AAAAAH/ezrs=")</f>
        <v>#REF!</v>
      </c>
      <c r="GG110" t="e">
        <f>AND(#REF!,"AAAAAH/ezrw=")</f>
        <v>#REF!</v>
      </c>
      <c r="GH110" t="e">
        <f>AND(#REF!,"AAAAAH/ezr0=")</f>
        <v>#REF!</v>
      </c>
      <c r="GI110" t="e">
        <f>AND(#REF!,"AAAAAH/ezr4=")</f>
        <v>#REF!</v>
      </c>
      <c r="GJ110" t="e">
        <f>AND(#REF!,"AAAAAH/ezr8=")</f>
        <v>#REF!</v>
      </c>
      <c r="GK110" t="e">
        <f>AND(#REF!,"AAAAAH/ezsA=")</f>
        <v>#REF!</v>
      </c>
      <c r="GL110" t="e">
        <f>AND(#REF!,"AAAAAH/ezsE=")</f>
        <v>#REF!</v>
      </c>
      <c r="GM110" t="e">
        <f>AND(#REF!,"AAAAAH/ezsI=")</f>
        <v>#REF!</v>
      </c>
      <c r="GN110" t="e">
        <f>AND(#REF!,"AAAAAH/ezsM=")</f>
        <v>#REF!</v>
      </c>
      <c r="GO110" t="e">
        <f>AND(#REF!,"AAAAAH/ezsQ=")</f>
        <v>#REF!</v>
      </c>
      <c r="GP110" t="e">
        <f>AND(#REF!,"AAAAAH/ezsU=")</f>
        <v>#REF!</v>
      </c>
      <c r="GQ110" t="e">
        <f>AND(#REF!,"AAAAAH/ezsY=")</f>
        <v>#REF!</v>
      </c>
      <c r="GR110" t="e">
        <f>AND(#REF!,"AAAAAH/ezsc=")</f>
        <v>#REF!</v>
      </c>
      <c r="GS110" t="e">
        <f>AND(#REF!,"AAAAAH/ezsg=")</f>
        <v>#REF!</v>
      </c>
      <c r="GT110" t="e">
        <f>AND(#REF!,"AAAAAH/ezsk=")</f>
        <v>#REF!</v>
      </c>
      <c r="GU110" t="e">
        <f>AND(#REF!,"AAAAAH/ezso=")</f>
        <v>#REF!</v>
      </c>
      <c r="GV110" t="e">
        <f>AND(#REF!,"AAAAAH/ezss=")</f>
        <v>#REF!</v>
      </c>
      <c r="GW110" t="e">
        <f>AND(#REF!,"AAAAAH/ezsw=")</f>
        <v>#REF!</v>
      </c>
      <c r="GX110" t="e">
        <f>AND(#REF!,"AAAAAH/ezs0=")</f>
        <v>#REF!</v>
      </c>
      <c r="GY110" t="e">
        <f>AND(#REF!,"AAAAAH/ezs4=")</f>
        <v>#REF!</v>
      </c>
      <c r="GZ110" t="e">
        <f>AND(#REF!,"AAAAAH/ezs8=")</f>
        <v>#REF!</v>
      </c>
      <c r="HA110" t="e">
        <f>AND(#REF!,"AAAAAH/eztA=")</f>
        <v>#REF!</v>
      </c>
      <c r="HB110" t="e">
        <f>AND(#REF!,"AAAAAH/eztE=")</f>
        <v>#REF!</v>
      </c>
      <c r="HC110" t="e">
        <f>AND(#REF!,"AAAAAH/eztI=")</f>
        <v>#REF!</v>
      </c>
      <c r="HD110" t="e">
        <f>AND(#REF!,"AAAAAH/eztM=")</f>
        <v>#REF!</v>
      </c>
      <c r="HE110" t="e">
        <f>IF(#REF!,"AAAAAH/eztQ=",0)</f>
        <v>#REF!</v>
      </c>
      <c r="HF110" t="e">
        <f>AND(#REF!,"AAAAAH/eztU=")</f>
        <v>#REF!</v>
      </c>
      <c r="HG110" t="e">
        <f>AND(#REF!,"AAAAAH/eztY=")</f>
        <v>#REF!</v>
      </c>
      <c r="HH110" t="e">
        <f>AND(#REF!,"AAAAAH/eztc=")</f>
        <v>#REF!</v>
      </c>
      <c r="HI110" t="e">
        <f>AND(#REF!,"AAAAAH/eztg=")</f>
        <v>#REF!</v>
      </c>
      <c r="HJ110" t="e">
        <f>AND(#REF!,"AAAAAH/eztk=")</f>
        <v>#REF!</v>
      </c>
      <c r="HK110" t="e">
        <f>AND(#REF!,"AAAAAH/ezto=")</f>
        <v>#REF!</v>
      </c>
      <c r="HL110" t="e">
        <f>AND(#REF!,"AAAAAH/ezts=")</f>
        <v>#REF!</v>
      </c>
      <c r="HM110" t="e">
        <f>AND(#REF!,"AAAAAH/eztw=")</f>
        <v>#REF!</v>
      </c>
      <c r="HN110" t="e">
        <f>AND(#REF!,"AAAAAH/ezt0=")</f>
        <v>#REF!</v>
      </c>
      <c r="HO110" t="e">
        <f>AND(#REF!,"AAAAAH/ezt4=")</f>
        <v>#REF!</v>
      </c>
      <c r="HP110" t="e">
        <f>AND(#REF!,"AAAAAH/ezt8=")</f>
        <v>#REF!</v>
      </c>
      <c r="HQ110" t="e">
        <f>AND(#REF!,"AAAAAH/ezuA=")</f>
        <v>#REF!</v>
      </c>
      <c r="HR110" t="e">
        <f>AND(#REF!,"AAAAAH/ezuE=")</f>
        <v>#REF!</v>
      </c>
      <c r="HS110" t="e">
        <f>AND(#REF!,"AAAAAH/ezuI=")</f>
        <v>#REF!</v>
      </c>
      <c r="HT110" t="e">
        <f>AND(#REF!,"AAAAAH/ezuM=")</f>
        <v>#REF!</v>
      </c>
      <c r="HU110" t="e">
        <f>AND(#REF!,"AAAAAH/ezuQ=")</f>
        <v>#REF!</v>
      </c>
      <c r="HV110" t="e">
        <f>AND(#REF!,"AAAAAH/ezuU=")</f>
        <v>#REF!</v>
      </c>
      <c r="HW110" t="e">
        <f>AND(#REF!,"AAAAAH/ezuY=")</f>
        <v>#REF!</v>
      </c>
      <c r="HX110" t="e">
        <f>AND(#REF!,"AAAAAH/ezuc=")</f>
        <v>#REF!</v>
      </c>
      <c r="HY110" t="e">
        <f>AND(#REF!,"AAAAAH/ezug=")</f>
        <v>#REF!</v>
      </c>
      <c r="HZ110" t="e">
        <f>AND(#REF!,"AAAAAH/ezuk=")</f>
        <v>#REF!</v>
      </c>
      <c r="IA110" t="e">
        <f>AND(#REF!,"AAAAAH/ezuo=")</f>
        <v>#REF!</v>
      </c>
      <c r="IB110" t="e">
        <f>AND(#REF!,"AAAAAH/ezus=")</f>
        <v>#REF!</v>
      </c>
      <c r="IC110" t="e">
        <f>AND(#REF!,"AAAAAH/ezuw=")</f>
        <v>#REF!</v>
      </c>
      <c r="ID110" t="e">
        <f>AND(#REF!,"AAAAAH/ezu0=")</f>
        <v>#REF!</v>
      </c>
      <c r="IE110" t="e">
        <f>AND(#REF!,"AAAAAH/ezu4=")</f>
        <v>#REF!</v>
      </c>
      <c r="IF110" t="e">
        <f>IF(#REF!,"AAAAAH/ezu8=",0)</f>
        <v>#REF!</v>
      </c>
      <c r="IG110" t="e">
        <f>AND(#REF!,"AAAAAH/ezvA=")</f>
        <v>#REF!</v>
      </c>
      <c r="IH110" t="e">
        <f>AND(#REF!,"AAAAAH/ezvE=")</f>
        <v>#REF!</v>
      </c>
      <c r="II110" t="e">
        <f>AND(#REF!,"AAAAAH/ezvI=")</f>
        <v>#REF!</v>
      </c>
      <c r="IJ110" t="e">
        <f>AND(#REF!,"AAAAAH/ezvM=")</f>
        <v>#REF!</v>
      </c>
      <c r="IK110" t="e">
        <f>AND(#REF!,"AAAAAH/ezvQ=")</f>
        <v>#REF!</v>
      </c>
      <c r="IL110" t="e">
        <f>AND(#REF!,"AAAAAH/ezvU=")</f>
        <v>#REF!</v>
      </c>
      <c r="IM110" t="e">
        <f>AND(#REF!,"AAAAAH/ezvY=")</f>
        <v>#REF!</v>
      </c>
      <c r="IN110" t="e">
        <f>AND(#REF!,"AAAAAH/ezvc=")</f>
        <v>#REF!</v>
      </c>
      <c r="IO110" t="e">
        <f>AND(#REF!,"AAAAAH/ezvg=")</f>
        <v>#REF!</v>
      </c>
      <c r="IP110" t="e">
        <f>AND(#REF!,"AAAAAH/ezvk=")</f>
        <v>#REF!</v>
      </c>
      <c r="IQ110" t="e">
        <f>AND(#REF!,"AAAAAH/ezvo=")</f>
        <v>#REF!</v>
      </c>
      <c r="IR110" t="e">
        <f>AND(#REF!,"AAAAAH/ezvs=")</f>
        <v>#REF!</v>
      </c>
      <c r="IS110" t="e">
        <f>AND(#REF!,"AAAAAH/ezvw=")</f>
        <v>#REF!</v>
      </c>
      <c r="IT110" t="e">
        <f>AND(#REF!,"AAAAAH/ezv0=")</f>
        <v>#REF!</v>
      </c>
      <c r="IU110" t="e">
        <f>AND(#REF!,"AAAAAH/ezv4=")</f>
        <v>#REF!</v>
      </c>
      <c r="IV110" t="e">
        <f>AND(#REF!,"AAAAAH/ezv8=")</f>
        <v>#REF!</v>
      </c>
    </row>
    <row r="111" spans="1:256" x14ac:dyDescent="0.2">
      <c r="A111" t="e">
        <f>AND(#REF!,"AAAAAG2/7AA=")</f>
        <v>#REF!</v>
      </c>
      <c r="B111" t="e">
        <f>AND(#REF!,"AAAAAG2/7AE=")</f>
        <v>#REF!</v>
      </c>
      <c r="C111" t="e">
        <f>AND(#REF!,"AAAAAG2/7AI=")</f>
        <v>#REF!</v>
      </c>
      <c r="D111" t="e">
        <f>AND(#REF!,"AAAAAG2/7AM=")</f>
        <v>#REF!</v>
      </c>
      <c r="E111" t="e">
        <f>AND(#REF!,"AAAAAG2/7AQ=")</f>
        <v>#REF!</v>
      </c>
      <c r="F111" t="e">
        <f>AND(#REF!,"AAAAAG2/7AU=")</f>
        <v>#REF!</v>
      </c>
      <c r="G111" t="e">
        <f>AND(#REF!,"AAAAAG2/7AY=")</f>
        <v>#REF!</v>
      </c>
      <c r="H111" t="e">
        <f>AND(#REF!,"AAAAAG2/7Ac=")</f>
        <v>#REF!</v>
      </c>
      <c r="I111" t="e">
        <f>AND(#REF!,"AAAAAG2/7Ag=")</f>
        <v>#REF!</v>
      </c>
      <c r="J111" t="e">
        <f>AND(#REF!,"AAAAAG2/7Ak=")</f>
        <v>#REF!</v>
      </c>
      <c r="K111" t="e">
        <f>IF(#REF!,"AAAAAG2/7Ao=",0)</f>
        <v>#REF!</v>
      </c>
      <c r="L111" t="e">
        <f>AND(#REF!,"AAAAAG2/7As=")</f>
        <v>#REF!</v>
      </c>
      <c r="M111" t="e">
        <f>AND(#REF!,"AAAAAG2/7Aw=")</f>
        <v>#REF!</v>
      </c>
      <c r="N111" t="e">
        <f>AND(#REF!,"AAAAAG2/7A0=")</f>
        <v>#REF!</v>
      </c>
      <c r="O111" t="e">
        <f>AND(#REF!,"AAAAAG2/7A4=")</f>
        <v>#REF!</v>
      </c>
      <c r="P111" t="e">
        <f>AND(#REF!,"AAAAAG2/7A8=")</f>
        <v>#REF!</v>
      </c>
      <c r="Q111" t="e">
        <f>AND(#REF!,"AAAAAG2/7BA=")</f>
        <v>#REF!</v>
      </c>
      <c r="R111" t="e">
        <f>AND(#REF!,"AAAAAG2/7BE=")</f>
        <v>#REF!</v>
      </c>
      <c r="S111" t="e">
        <f>AND(#REF!,"AAAAAG2/7BI=")</f>
        <v>#REF!</v>
      </c>
      <c r="T111" t="e">
        <f>AND(#REF!,"AAAAAG2/7BM=")</f>
        <v>#REF!</v>
      </c>
      <c r="U111" t="e">
        <f>AND(#REF!,"AAAAAG2/7BQ=")</f>
        <v>#REF!</v>
      </c>
      <c r="V111" t="e">
        <f>AND(#REF!,"AAAAAG2/7BU=")</f>
        <v>#REF!</v>
      </c>
      <c r="W111" t="e">
        <f>AND(#REF!,"AAAAAG2/7BY=")</f>
        <v>#REF!</v>
      </c>
      <c r="X111" t="e">
        <f>AND(#REF!,"AAAAAG2/7Bc=")</f>
        <v>#REF!</v>
      </c>
      <c r="Y111" t="e">
        <f>AND(#REF!,"AAAAAG2/7Bg=")</f>
        <v>#REF!</v>
      </c>
      <c r="Z111" t="e">
        <f>AND(#REF!,"AAAAAG2/7Bk=")</f>
        <v>#REF!</v>
      </c>
      <c r="AA111" t="e">
        <f>AND(#REF!,"AAAAAG2/7Bo=")</f>
        <v>#REF!</v>
      </c>
      <c r="AB111" t="e">
        <f>AND(#REF!,"AAAAAG2/7Bs=")</f>
        <v>#REF!</v>
      </c>
      <c r="AC111" t="e">
        <f>AND(#REF!,"AAAAAG2/7Bw=")</f>
        <v>#REF!</v>
      </c>
      <c r="AD111" t="e">
        <f>AND(#REF!,"AAAAAG2/7B0=")</f>
        <v>#REF!</v>
      </c>
      <c r="AE111" t="e">
        <f>AND(#REF!,"AAAAAG2/7B4=")</f>
        <v>#REF!</v>
      </c>
      <c r="AF111" t="e">
        <f>AND(#REF!,"AAAAAG2/7B8=")</f>
        <v>#REF!</v>
      </c>
      <c r="AG111" t="e">
        <f>AND(#REF!,"AAAAAG2/7CA=")</f>
        <v>#REF!</v>
      </c>
      <c r="AH111" t="e">
        <f>AND(#REF!,"AAAAAG2/7CE=")</f>
        <v>#REF!</v>
      </c>
      <c r="AI111" t="e">
        <f>AND(#REF!,"AAAAAG2/7CI=")</f>
        <v>#REF!</v>
      </c>
      <c r="AJ111" t="e">
        <f>AND(#REF!,"AAAAAG2/7CM=")</f>
        <v>#REF!</v>
      </c>
      <c r="AK111" t="e">
        <f>AND(#REF!,"AAAAAG2/7CQ=")</f>
        <v>#REF!</v>
      </c>
      <c r="AL111" t="e">
        <f>IF(#REF!,"AAAAAG2/7CU=",0)</f>
        <v>#REF!</v>
      </c>
      <c r="AM111" t="e">
        <f>AND(#REF!,"AAAAAG2/7CY=")</f>
        <v>#REF!</v>
      </c>
      <c r="AN111" t="e">
        <f>AND(#REF!,"AAAAAG2/7Cc=")</f>
        <v>#REF!</v>
      </c>
      <c r="AO111" t="e">
        <f>AND(#REF!,"AAAAAG2/7Cg=")</f>
        <v>#REF!</v>
      </c>
      <c r="AP111" t="e">
        <f>AND(#REF!,"AAAAAG2/7Ck=")</f>
        <v>#REF!</v>
      </c>
      <c r="AQ111" t="e">
        <f>AND(#REF!,"AAAAAG2/7Co=")</f>
        <v>#REF!</v>
      </c>
      <c r="AR111" t="e">
        <f>AND(#REF!,"AAAAAG2/7Cs=")</f>
        <v>#REF!</v>
      </c>
      <c r="AS111" t="e">
        <f>AND(#REF!,"AAAAAG2/7Cw=")</f>
        <v>#REF!</v>
      </c>
      <c r="AT111" t="e">
        <f>AND(#REF!,"AAAAAG2/7C0=")</f>
        <v>#REF!</v>
      </c>
      <c r="AU111" t="e">
        <f>AND(#REF!,"AAAAAG2/7C4=")</f>
        <v>#REF!</v>
      </c>
      <c r="AV111" t="e">
        <f>AND(#REF!,"AAAAAG2/7C8=")</f>
        <v>#REF!</v>
      </c>
      <c r="AW111" t="e">
        <f>AND(#REF!,"AAAAAG2/7DA=")</f>
        <v>#REF!</v>
      </c>
      <c r="AX111" t="e">
        <f>AND(#REF!,"AAAAAG2/7DE=")</f>
        <v>#REF!</v>
      </c>
      <c r="AY111" t="e">
        <f>AND(#REF!,"AAAAAG2/7DI=")</f>
        <v>#REF!</v>
      </c>
      <c r="AZ111" t="e">
        <f>AND(#REF!,"AAAAAG2/7DM=")</f>
        <v>#REF!</v>
      </c>
      <c r="BA111" t="e">
        <f>AND(#REF!,"AAAAAG2/7DQ=")</f>
        <v>#REF!</v>
      </c>
      <c r="BB111" t="e">
        <f>AND(#REF!,"AAAAAG2/7DU=")</f>
        <v>#REF!</v>
      </c>
      <c r="BC111" t="e">
        <f>AND(#REF!,"AAAAAG2/7DY=")</f>
        <v>#REF!</v>
      </c>
      <c r="BD111" t="e">
        <f>AND(#REF!,"AAAAAG2/7Dc=")</f>
        <v>#REF!</v>
      </c>
      <c r="BE111" t="e">
        <f>AND(#REF!,"AAAAAG2/7Dg=")</f>
        <v>#REF!</v>
      </c>
      <c r="BF111" t="e">
        <f>AND(#REF!,"AAAAAG2/7Dk=")</f>
        <v>#REF!</v>
      </c>
      <c r="BG111" t="e">
        <f>AND(#REF!,"AAAAAG2/7Do=")</f>
        <v>#REF!</v>
      </c>
      <c r="BH111" t="e">
        <f>AND(#REF!,"AAAAAG2/7Ds=")</f>
        <v>#REF!</v>
      </c>
      <c r="BI111" t="e">
        <f>AND(#REF!,"AAAAAG2/7Dw=")</f>
        <v>#REF!</v>
      </c>
      <c r="BJ111" t="e">
        <f>AND(#REF!,"AAAAAG2/7D0=")</f>
        <v>#REF!</v>
      </c>
      <c r="BK111" t="e">
        <f>AND(#REF!,"AAAAAG2/7D4=")</f>
        <v>#REF!</v>
      </c>
      <c r="BL111" t="e">
        <f>AND(#REF!,"AAAAAG2/7D8=")</f>
        <v>#REF!</v>
      </c>
      <c r="BM111" t="e">
        <f>IF(#REF!,"AAAAAG2/7EA=",0)</f>
        <v>#REF!</v>
      </c>
      <c r="BN111" t="e">
        <f>AND(#REF!,"AAAAAG2/7EE=")</f>
        <v>#REF!</v>
      </c>
      <c r="BO111" t="e">
        <f>AND(#REF!,"AAAAAG2/7EI=")</f>
        <v>#REF!</v>
      </c>
      <c r="BP111" t="e">
        <f>AND(#REF!,"AAAAAG2/7EM=")</f>
        <v>#REF!</v>
      </c>
      <c r="BQ111" t="e">
        <f>AND(#REF!,"AAAAAG2/7EQ=")</f>
        <v>#REF!</v>
      </c>
      <c r="BR111" t="e">
        <f>AND(#REF!,"AAAAAG2/7EU=")</f>
        <v>#REF!</v>
      </c>
      <c r="BS111" t="e">
        <f>AND(#REF!,"AAAAAG2/7EY=")</f>
        <v>#REF!</v>
      </c>
      <c r="BT111" t="e">
        <f>AND(#REF!,"AAAAAG2/7Ec=")</f>
        <v>#REF!</v>
      </c>
      <c r="BU111" t="e">
        <f>AND(#REF!,"AAAAAG2/7Eg=")</f>
        <v>#REF!</v>
      </c>
      <c r="BV111" t="e">
        <f>AND(#REF!,"AAAAAG2/7Ek=")</f>
        <v>#REF!</v>
      </c>
      <c r="BW111" t="e">
        <f>AND(#REF!,"AAAAAG2/7Eo=")</f>
        <v>#REF!</v>
      </c>
      <c r="BX111" t="e">
        <f>AND(#REF!,"AAAAAG2/7Es=")</f>
        <v>#REF!</v>
      </c>
      <c r="BY111" t="e">
        <f>AND(#REF!,"AAAAAG2/7Ew=")</f>
        <v>#REF!</v>
      </c>
      <c r="BZ111" t="e">
        <f>AND(#REF!,"AAAAAG2/7E0=")</f>
        <v>#REF!</v>
      </c>
      <c r="CA111" t="e">
        <f>AND(#REF!,"AAAAAG2/7E4=")</f>
        <v>#REF!</v>
      </c>
      <c r="CB111" t="e">
        <f>AND(#REF!,"AAAAAG2/7E8=")</f>
        <v>#REF!</v>
      </c>
      <c r="CC111" t="e">
        <f>AND(#REF!,"AAAAAG2/7FA=")</f>
        <v>#REF!</v>
      </c>
      <c r="CD111" t="e">
        <f>AND(#REF!,"AAAAAG2/7FE=")</f>
        <v>#REF!</v>
      </c>
      <c r="CE111" t="e">
        <f>AND(#REF!,"AAAAAG2/7FI=")</f>
        <v>#REF!</v>
      </c>
      <c r="CF111" t="e">
        <f>AND(#REF!,"AAAAAG2/7FM=")</f>
        <v>#REF!</v>
      </c>
      <c r="CG111" t="e">
        <f>AND(#REF!,"AAAAAG2/7FQ=")</f>
        <v>#REF!</v>
      </c>
      <c r="CH111" t="e">
        <f>AND(#REF!,"AAAAAG2/7FU=")</f>
        <v>#REF!</v>
      </c>
      <c r="CI111" t="e">
        <f>AND(#REF!,"AAAAAG2/7FY=")</f>
        <v>#REF!</v>
      </c>
      <c r="CJ111" t="e">
        <f>AND(#REF!,"AAAAAG2/7Fc=")</f>
        <v>#REF!</v>
      </c>
      <c r="CK111" t="e">
        <f>AND(#REF!,"AAAAAG2/7Fg=")</f>
        <v>#REF!</v>
      </c>
      <c r="CL111" t="e">
        <f>AND(#REF!,"AAAAAG2/7Fk=")</f>
        <v>#REF!</v>
      </c>
      <c r="CM111" t="e">
        <f>AND(#REF!,"AAAAAG2/7Fo=")</f>
        <v>#REF!</v>
      </c>
      <c r="CN111" t="e">
        <f>IF(#REF!,"AAAAAG2/7Fs=",0)</f>
        <v>#REF!</v>
      </c>
      <c r="CO111" t="e">
        <f>AND(#REF!,"AAAAAG2/7Fw=")</f>
        <v>#REF!</v>
      </c>
      <c r="CP111" t="e">
        <f>AND(#REF!,"AAAAAG2/7F0=")</f>
        <v>#REF!</v>
      </c>
      <c r="CQ111" t="e">
        <f>AND(#REF!,"AAAAAG2/7F4=")</f>
        <v>#REF!</v>
      </c>
      <c r="CR111" t="e">
        <f>AND(#REF!,"AAAAAG2/7F8=")</f>
        <v>#REF!</v>
      </c>
      <c r="CS111" t="e">
        <f>AND(#REF!,"AAAAAG2/7GA=")</f>
        <v>#REF!</v>
      </c>
      <c r="CT111" t="e">
        <f>AND(#REF!,"AAAAAG2/7GE=")</f>
        <v>#REF!</v>
      </c>
      <c r="CU111" t="e">
        <f>AND(#REF!,"AAAAAG2/7GI=")</f>
        <v>#REF!</v>
      </c>
      <c r="CV111" t="e">
        <f>AND(#REF!,"AAAAAG2/7GM=")</f>
        <v>#REF!</v>
      </c>
      <c r="CW111" t="e">
        <f>AND(#REF!,"AAAAAG2/7GQ=")</f>
        <v>#REF!</v>
      </c>
      <c r="CX111" t="e">
        <f>AND(#REF!,"AAAAAG2/7GU=")</f>
        <v>#REF!</v>
      </c>
      <c r="CY111" t="e">
        <f>AND(#REF!,"AAAAAG2/7GY=")</f>
        <v>#REF!</v>
      </c>
      <c r="CZ111" t="e">
        <f>AND(#REF!,"AAAAAG2/7Gc=")</f>
        <v>#REF!</v>
      </c>
      <c r="DA111" t="e">
        <f>AND(#REF!,"AAAAAG2/7Gg=")</f>
        <v>#REF!</v>
      </c>
      <c r="DB111" t="e">
        <f>AND(#REF!,"AAAAAG2/7Gk=")</f>
        <v>#REF!</v>
      </c>
      <c r="DC111" t="e">
        <f>AND(#REF!,"AAAAAG2/7Go=")</f>
        <v>#REF!</v>
      </c>
      <c r="DD111" t="e">
        <f>AND(#REF!,"AAAAAG2/7Gs=")</f>
        <v>#REF!</v>
      </c>
      <c r="DE111" t="e">
        <f>AND(#REF!,"AAAAAG2/7Gw=")</f>
        <v>#REF!</v>
      </c>
      <c r="DF111" t="e">
        <f>AND(#REF!,"AAAAAG2/7G0=")</f>
        <v>#REF!</v>
      </c>
      <c r="DG111" t="e">
        <f>AND(#REF!,"AAAAAG2/7G4=")</f>
        <v>#REF!</v>
      </c>
      <c r="DH111" t="e">
        <f>AND(#REF!,"AAAAAG2/7G8=")</f>
        <v>#REF!</v>
      </c>
      <c r="DI111" t="e">
        <f>AND(#REF!,"AAAAAG2/7HA=")</f>
        <v>#REF!</v>
      </c>
      <c r="DJ111" t="e">
        <f>AND(#REF!,"AAAAAG2/7HE=")</f>
        <v>#REF!</v>
      </c>
      <c r="DK111" t="e">
        <f>AND(#REF!,"AAAAAG2/7HI=")</f>
        <v>#REF!</v>
      </c>
      <c r="DL111" t="e">
        <f>AND(#REF!,"AAAAAG2/7HM=")</f>
        <v>#REF!</v>
      </c>
      <c r="DM111" t="e">
        <f>AND(#REF!,"AAAAAG2/7HQ=")</f>
        <v>#REF!</v>
      </c>
      <c r="DN111" t="e">
        <f>AND(#REF!,"AAAAAG2/7HU=")</f>
        <v>#REF!</v>
      </c>
      <c r="DO111" t="e">
        <f>IF(#REF!,"AAAAAG2/7HY=",0)</f>
        <v>#REF!</v>
      </c>
      <c r="DP111" t="e">
        <f>AND(#REF!,"AAAAAG2/7Hc=")</f>
        <v>#REF!</v>
      </c>
      <c r="DQ111" t="e">
        <f>AND(#REF!,"AAAAAG2/7Hg=")</f>
        <v>#REF!</v>
      </c>
      <c r="DR111" t="e">
        <f>AND(#REF!,"AAAAAG2/7Hk=")</f>
        <v>#REF!</v>
      </c>
      <c r="DS111" t="e">
        <f>AND(#REF!,"AAAAAG2/7Ho=")</f>
        <v>#REF!</v>
      </c>
      <c r="DT111" t="e">
        <f>AND(#REF!,"AAAAAG2/7Hs=")</f>
        <v>#REF!</v>
      </c>
      <c r="DU111" t="e">
        <f>AND(#REF!,"AAAAAG2/7Hw=")</f>
        <v>#REF!</v>
      </c>
      <c r="DV111" t="e">
        <f>AND(#REF!,"AAAAAG2/7H0=")</f>
        <v>#REF!</v>
      </c>
      <c r="DW111" t="e">
        <f>AND(#REF!,"AAAAAG2/7H4=")</f>
        <v>#REF!</v>
      </c>
      <c r="DX111" t="e">
        <f>AND(#REF!,"AAAAAG2/7H8=")</f>
        <v>#REF!</v>
      </c>
      <c r="DY111" t="e">
        <f>AND(#REF!,"AAAAAG2/7IA=")</f>
        <v>#REF!</v>
      </c>
      <c r="DZ111" t="e">
        <f>AND(#REF!,"AAAAAG2/7IE=")</f>
        <v>#REF!</v>
      </c>
      <c r="EA111" t="e">
        <f>AND(#REF!,"AAAAAG2/7II=")</f>
        <v>#REF!</v>
      </c>
      <c r="EB111" t="e">
        <f>AND(#REF!,"AAAAAG2/7IM=")</f>
        <v>#REF!</v>
      </c>
      <c r="EC111" t="e">
        <f>AND(#REF!,"AAAAAG2/7IQ=")</f>
        <v>#REF!</v>
      </c>
      <c r="ED111" t="e">
        <f>AND(#REF!,"AAAAAG2/7IU=")</f>
        <v>#REF!</v>
      </c>
      <c r="EE111" t="e">
        <f>AND(#REF!,"AAAAAG2/7IY=")</f>
        <v>#REF!</v>
      </c>
      <c r="EF111" t="e">
        <f>AND(#REF!,"AAAAAG2/7Ic=")</f>
        <v>#REF!</v>
      </c>
      <c r="EG111" t="e">
        <f>AND(#REF!,"AAAAAG2/7Ig=")</f>
        <v>#REF!</v>
      </c>
      <c r="EH111" t="e">
        <f>AND(#REF!,"AAAAAG2/7Ik=")</f>
        <v>#REF!</v>
      </c>
      <c r="EI111" t="e">
        <f>AND(#REF!,"AAAAAG2/7Io=")</f>
        <v>#REF!</v>
      </c>
      <c r="EJ111" t="e">
        <f>AND(#REF!,"AAAAAG2/7Is=")</f>
        <v>#REF!</v>
      </c>
      <c r="EK111" t="e">
        <f>AND(#REF!,"AAAAAG2/7Iw=")</f>
        <v>#REF!</v>
      </c>
      <c r="EL111" t="e">
        <f>AND(#REF!,"AAAAAG2/7I0=")</f>
        <v>#REF!</v>
      </c>
      <c r="EM111" t="e">
        <f>AND(#REF!,"AAAAAG2/7I4=")</f>
        <v>#REF!</v>
      </c>
      <c r="EN111" t="e">
        <f>AND(#REF!,"AAAAAG2/7I8=")</f>
        <v>#REF!</v>
      </c>
      <c r="EO111" t="e">
        <f>AND(#REF!,"AAAAAG2/7JA=")</f>
        <v>#REF!</v>
      </c>
      <c r="EP111" t="e">
        <f>IF(#REF!,"AAAAAG2/7JE=",0)</f>
        <v>#REF!</v>
      </c>
      <c r="EQ111" t="e">
        <f>AND(#REF!,"AAAAAG2/7JI=")</f>
        <v>#REF!</v>
      </c>
      <c r="ER111" t="e">
        <f>AND(#REF!,"AAAAAG2/7JM=")</f>
        <v>#REF!</v>
      </c>
      <c r="ES111" t="e">
        <f>AND(#REF!,"AAAAAG2/7JQ=")</f>
        <v>#REF!</v>
      </c>
      <c r="ET111" t="e">
        <f>AND(#REF!,"AAAAAG2/7JU=")</f>
        <v>#REF!</v>
      </c>
      <c r="EU111" t="e">
        <f>AND(#REF!,"AAAAAG2/7JY=")</f>
        <v>#REF!</v>
      </c>
      <c r="EV111" t="e">
        <f>AND(#REF!,"AAAAAG2/7Jc=")</f>
        <v>#REF!</v>
      </c>
      <c r="EW111" t="e">
        <f>AND(#REF!,"AAAAAG2/7Jg=")</f>
        <v>#REF!</v>
      </c>
      <c r="EX111" t="e">
        <f>AND(#REF!,"AAAAAG2/7Jk=")</f>
        <v>#REF!</v>
      </c>
      <c r="EY111" t="e">
        <f>AND(#REF!,"AAAAAG2/7Jo=")</f>
        <v>#REF!</v>
      </c>
      <c r="EZ111" t="e">
        <f>AND(#REF!,"AAAAAG2/7Js=")</f>
        <v>#REF!</v>
      </c>
      <c r="FA111" t="e">
        <f>AND(#REF!,"AAAAAG2/7Jw=")</f>
        <v>#REF!</v>
      </c>
      <c r="FB111" t="e">
        <f>AND(#REF!,"AAAAAG2/7J0=")</f>
        <v>#REF!</v>
      </c>
      <c r="FC111" t="e">
        <f>AND(#REF!,"AAAAAG2/7J4=")</f>
        <v>#REF!</v>
      </c>
      <c r="FD111" t="e">
        <f>AND(#REF!,"AAAAAG2/7J8=")</f>
        <v>#REF!</v>
      </c>
      <c r="FE111" t="e">
        <f>AND(#REF!,"AAAAAG2/7KA=")</f>
        <v>#REF!</v>
      </c>
      <c r="FF111" t="e">
        <f>AND(#REF!,"AAAAAG2/7KE=")</f>
        <v>#REF!</v>
      </c>
      <c r="FG111" t="e">
        <f>AND(#REF!,"AAAAAG2/7KI=")</f>
        <v>#REF!</v>
      </c>
      <c r="FH111" t="e">
        <f>AND(#REF!,"AAAAAG2/7KM=")</f>
        <v>#REF!</v>
      </c>
      <c r="FI111" t="e">
        <f>AND(#REF!,"AAAAAG2/7KQ=")</f>
        <v>#REF!</v>
      </c>
      <c r="FJ111" t="e">
        <f>AND(#REF!,"AAAAAG2/7KU=")</f>
        <v>#REF!</v>
      </c>
      <c r="FK111" t="e">
        <f>AND(#REF!,"AAAAAG2/7KY=")</f>
        <v>#REF!</v>
      </c>
      <c r="FL111" t="e">
        <f>AND(#REF!,"AAAAAG2/7Kc=")</f>
        <v>#REF!</v>
      </c>
      <c r="FM111" t="e">
        <f>AND(#REF!,"AAAAAG2/7Kg=")</f>
        <v>#REF!</v>
      </c>
      <c r="FN111" t="e">
        <f>AND(#REF!,"AAAAAG2/7Kk=")</f>
        <v>#REF!</v>
      </c>
      <c r="FO111" t="e">
        <f>AND(#REF!,"AAAAAG2/7Ko=")</f>
        <v>#REF!</v>
      </c>
      <c r="FP111" t="e">
        <f>AND(#REF!,"AAAAAG2/7Ks=")</f>
        <v>#REF!</v>
      </c>
      <c r="FQ111" t="e">
        <f>IF(#REF!,"AAAAAG2/7Kw=",0)</f>
        <v>#REF!</v>
      </c>
      <c r="FR111" t="e">
        <f>AND(#REF!,"AAAAAG2/7K0=")</f>
        <v>#REF!</v>
      </c>
      <c r="FS111" t="e">
        <f>AND(#REF!,"AAAAAG2/7K4=")</f>
        <v>#REF!</v>
      </c>
      <c r="FT111" t="e">
        <f>AND(#REF!,"AAAAAG2/7K8=")</f>
        <v>#REF!</v>
      </c>
      <c r="FU111" t="e">
        <f>AND(#REF!,"AAAAAG2/7LA=")</f>
        <v>#REF!</v>
      </c>
      <c r="FV111" t="e">
        <f>AND(#REF!,"AAAAAG2/7LE=")</f>
        <v>#REF!</v>
      </c>
      <c r="FW111" t="e">
        <f>AND(#REF!,"AAAAAG2/7LI=")</f>
        <v>#REF!</v>
      </c>
      <c r="FX111" t="e">
        <f>AND(#REF!,"AAAAAG2/7LM=")</f>
        <v>#REF!</v>
      </c>
      <c r="FY111" t="e">
        <f>AND(#REF!,"AAAAAG2/7LQ=")</f>
        <v>#REF!</v>
      </c>
      <c r="FZ111" t="e">
        <f>AND(#REF!,"AAAAAG2/7LU=")</f>
        <v>#REF!</v>
      </c>
      <c r="GA111" t="e">
        <f>AND(#REF!,"AAAAAG2/7LY=")</f>
        <v>#REF!</v>
      </c>
      <c r="GB111" t="e">
        <f>AND(#REF!,"AAAAAG2/7Lc=")</f>
        <v>#REF!</v>
      </c>
      <c r="GC111" t="e">
        <f>AND(#REF!,"AAAAAG2/7Lg=")</f>
        <v>#REF!</v>
      </c>
      <c r="GD111" t="e">
        <f>AND(#REF!,"AAAAAG2/7Lk=")</f>
        <v>#REF!</v>
      </c>
      <c r="GE111" t="e">
        <f>AND(#REF!,"AAAAAG2/7Lo=")</f>
        <v>#REF!</v>
      </c>
      <c r="GF111" t="e">
        <f>AND(#REF!,"AAAAAG2/7Ls=")</f>
        <v>#REF!</v>
      </c>
      <c r="GG111" t="e">
        <f>AND(#REF!,"AAAAAG2/7Lw=")</f>
        <v>#REF!</v>
      </c>
      <c r="GH111" t="e">
        <f>AND(#REF!,"AAAAAG2/7L0=")</f>
        <v>#REF!</v>
      </c>
      <c r="GI111" t="e">
        <f>AND(#REF!,"AAAAAG2/7L4=")</f>
        <v>#REF!</v>
      </c>
      <c r="GJ111" t="e">
        <f>AND(#REF!,"AAAAAG2/7L8=")</f>
        <v>#REF!</v>
      </c>
      <c r="GK111" t="e">
        <f>AND(#REF!,"AAAAAG2/7MA=")</f>
        <v>#REF!</v>
      </c>
      <c r="GL111" t="e">
        <f>AND(#REF!,"AAAAAG2/7ME=")</f>
        <v>#REF!</v>
      </c>
      <c r="GM111" t="e">
        <f>AND(#REF!,"AAAAAG2/7MI=")</f>
        <v>#REF!</v>
      </c>
      <c r="GN111" t="e">
        <f>AND(#REF!,"AAAAAG2/7MM=")</f>
        <v>#REF!</v>
      </c>
      <c r="GO111" t="e">
        <f>AND(#REF!,"AAAAAG2/7MQ=")</f>
        <v>#REF!</v>
      </c>
      <c r="GP111" t="e">
        <f>AND(#REF!,"AAAAAG2/7MU=")</f>
        <v>#REF!</v>
      </c>
      <c r="GQ111" t="e">
        <f>AND(#REF!,"AAAAAG2/7MY=")</f>
        <v>#REF!</v>
      </c>
      <c r="GR111" t="e">
        <f>IF(#REF!,"AAAAAG2/7Mc=",0)</f>
        <v>#REF!</v>
      </c>
      <c r="GS111" t="e">
        <f>AND(#REF!,"AAAAAG2/7Mg=")</f>
        <v>#REF!</v>
      </c>
      <c r="GT111" t="e">
        <f>AND(#REF!,"AAAAAG2/7Mk=")</f>
        <v>#REF!</v>
      </c>
      <c r="GU111" t="e">
        <f>AND(#REF!,"AAAAAG2/7Mo=")</f>
        <v>#REF!</v>
      </c>
      <c r="GV111" t="e">
        <f>AND(#REF!,"AAAAAG2/7Ms=")</f>
        <v>#REF!</v>
      </c>
      <c r="GW111" t="e">
        <f>AND(#REF!,"AAAAAG2/7Mw=")</f>
        <v>#REF!</v>
      </c>
      <c r="GX111" t="e">
        <f>AND(#REF!,"AAAAAG2/7M0=")</f>
        <v>#REF!</v>
      </c>
      <c r="GY111" t="e">
        <f>AND(#REF!,"AAAAAG2/7M4=")</f>
        <v>#REF!</v>
      </c>
      <c r="GZ111" t="e">
        <f>AND(#REF!,"AAAAAG2/7M8=")</f>
        <v>#REF!</v>
      </c>
      <c r="HA111" t="e">
        <f>AND(#REF!,"AAAAAG2/7NA=")</f>
        <v>#REF!</v>
      </c>
      <c r="HB111" t="e">
        <f>AND(#REF!,"AAAAAG2/7NE=")</f>
        <v>#REF!</v>
      </c>
      <c r="HC111" t="e">
        <f>AND(#REF!,"AAAAAG2/7NI=")</f>
        <v>#REF!</v>
      </c>
      <c r="HD111" t="e">
        <f>AND(#REF!,"AAAAAG2/7NM=")</f>
        <v>#REF!</v>
      </c>
      <c r="HE111" t="e">
        <f>AND(#REF!,"AAAAAG2/7NQ=")</f>
        <v>#REF!</v>
      </c>
      <c r="HF111" t="e">
        <f>AND(#REF!,"AAAAAG2/7NU=")</f>
        <v>#REF!</v>
      </c>
      <c r="HG111" t="e">
        <f>AND(#REF!,"AAAAAG2/7NY=")</f>
        <v>#REF!</v>
      </c>
      <c r="HH111" t="e">
        <f>AND(#REF!,"AAAAAG2/7Nc=")</f>
        <v>#REF!</v>
      </c>
      <c r="HI111" t="e">
        <f>AND(#REF!,"AAAAAG2/7Ng=")</f>
        <v>#REF!</v>
      </c>
      <c r="HJ111" t="e">
        <f>AND(#REF!,"AAAAAG2/7Nk=")</f>
        <v>#REF!</v>
      </c>
      <c r="HK111" t="e">
        <f>AND(#REF!,"AAAAAG2/7No=")</f>
        <v>#REF!</v>
      </c>
      <c r="HL111" t="e">
        <f>AND(#REF!,"AAAAAG2/7Ns=")</f>
        <v>#REF!</v>
      </c>
      <c r="HM111" t="e">
        <f>AND(#REF!,"AAAAAG2/7Nw=")</f>
        <v>#REF!</v>
      </c>
      <c r="HN111" t="e">
        <f>AND(#REF!,"AAAAAG2/7N0=")</f>
        <v>#REF!</v>
      </c>
      <c r="HO111" t="e">
        <f>AND(#REF!,"AAAAAG2/7N4=")</f>
        <v>#REF!</v>
      </c>
      <c r="HP111" t="e">
        <f>AND(#REF!,"AAAAAG2/7N8=")</f>
        <v>#REF!</v>
      </c>
      <c r="HQ111" t="e">
        <f>AND(#REF!,"AAAAAG2/7OA=")</f>
        <v>#REF!</v>
      </c>
      <c r="HR111" t="e">
        <f>AND(#REF!,"AAAAAG2/7OE=")</f>
        <v>#REF!</v>
      </c>
      <c r="HS111" t="e">
        <f>IF(#REF!,"AAAAAG2/7OI=",0)</f>
        <v>#REF!</v>
      </c>
      <c r="HT111" t="e">
        <f>AND(#REF!,"AAAAAG2/7OM=")</f>
        <v>#REF!</v>
      </c>
      <c r="HU111" t="e">
        <f>AND(#REF!,"AAAAAG2/7OQ=")</f>
        <v>#REF!</v>
      </c>
      <c r="HV111" t="e">
        <f>AND(#REF!,"AAAAAG2/7OU=")</f>
        <v>#REF!</v>
      </c>
      <c r="HW111" t="e">
        <f>AND(#REF!,"AAAAAG2/7OY=")</f>
        <v>#REF!</v>
      </c>
      <c r="HX111" t="e">
        <f>AND(#REF!,"AAAAAG2/7Oc=")</f>
        <v>#REF!</v>
      </c>
      <c r="HY111" t="e">
        <f>AND(#REF!,"AAAAAG2/7Og=")</f>
        <v>#REF!</v>
      </c>
      <c r="HZ111" t="e">
        <f>AND(#REF!,"AAAAAG2/7Ok=")</f>
        <v>#REF!</v>
      </c>
      <c r="IA111" t="e">
        <f>AND(#REF!,"AAAAAG2/7Oo=")</f>
        <v>#REF!</v>
      </c>
      <c r="IB111" t="e">
        <f>AND(#REF!,"AAAAAG2/7Os=")</f>
        <v>#REF!</v>
      </c>
      <c r="IC111" t="e">
        <f>AND(#REF!,"AAAAAG2/7Ow=")</f>
        <v>#REF!</v>
      </c>
      <c r="ID111" t="e">
        <f>AND(#REF!,"AAAAAG2/7O0=")</f>
        <v>#REF!</v>
      </c>
      <c r="IE111" t="e">
        <f>AND(#REF!,"AAAAAG2/7O4=")</f>
        <v>#REF!</v>
      </c>
      <c r="IF111" t="e">
        <f>AND(#REF!,"AAAAAG2/7O8=")</f>
        <v>#REF!</v>
      </c>
      <c r="IG111" t="e">
        <f>AND(#REF!,"AAAAAG2/7PA=")</f>
        <v>#REF!</v>
      </c>
      <c r="IH111" t="e">
        <f>AND(#REF!,"AAAAAG2/7PE=")</f>
        <v>#REF!</v>
      </c>
      <c r="II111" t="e">
        <f>AND(#REF!,"AAAAAG2/7PI=")</f>
        <v>#REF!</v>
      </c>
      <c r="IJ111" t="e">
        <f>AND(#REF!,"AAAAAG2/7PM=")</f>
        <v>#REF!</v>
      </c>
      <c r="IK111" t="e">
        <f>AND(#REF!,"AAAAAG2/7PQ=")</f>
        <v>#REF!</v>
      </c>
      <c r="IL111" t="e">
        <f>AND(#REF!,"AAAAAG2/7PU=")</f>
        <v>#REF!</v>
      </c>
      <c r="IM111" t="e">
        <f>AND(#REF!,"AAAAAG2/7PY=")</f>
        <v>#REF!</v>
      </c>
      <c r="IN111" t="e">
        <f>AND(#REF!,"AAAAAG2/7Pc=")</f>
        <v>#REF!</v>
      </c>
      <c r="IO111" t="e">
        <f>AND(#REF!,"AAAAAG2/7Pg=")</f>
        <v>#REF!</v>
      </c>
      <c r="IP111" t="e">
        <f>AND(#REF!,"AAAAAG2/7Pk=")</f>
        <v>#REF!</v>
      </c>
      <c r="IQ111" t="e">
        <f>AND(#REF!,"AAAAAG2/7Po=")</f>
        <v>#REF!</v>
      </c>
      <c r="IR111" t="e">
        <f>AND(#REF!,"AAAAAG2/7Ps=")</f>
        <v>#REF!</v>
      </c>
      <c r="IS111" t="e">
        <f>AND(#REF!,"AAAAAG2/7Pw=")</f>
        <v>#REF!</v>
      </c>
      <c r="IT111" t="e">
        <f>IF(#REF!,"AAAAAG2/7P0=",0)</f>
        <v>#REF!</v>
      </c>
      <c r="IU111" t="e">
        <f>AND(#REF!,"AAAAAG2/7P4=")</f>
        <v>#REF!</v>
      </c>
      <c r="IV111" t="e">
        <f>AND(#REF!,"AAAAAG2/7P8=")</f>
        <v>#REF!</v>
      </c>
    </row>
    <row r="112" spans="1:256" x14ac:dyDescent="0.2">
      <c r="A112" t="e">
        <f>AND(#REF!,"AAAAAHcz7wA=")</f>
        <v>#REF!</v>
      </c>
      <c r="B112" t="e">
        <f>AND(#REF!,"AAAAAHcz7wE=")</f>
        <v>#REF!</v>
      </c>
      <c r="C112" t="e">
        <f>AND(#REF!,"AAAAAHcz7wI=")</f>
        <v>#REF!</v>
      </c>
      <c r="D112" t="e">
        <f>AND(#REF!,"AAAAAHcz7wM=")</f>
        <v>#REF!</v>
      </c>
      <c r="E112" t="e">
        <f>AND(#REF!,"AAAAAHcz7wQ=")</f>
        <v>#REF!</v>
      </c>
      <c r="F112" t="e">
        <f>AND(#REF!,"AAAAAHcz7wU=")</f>
        <v>#REF!</v>
      </c>
      <c r="G112" t="e">
        <f>AND(#REF!,"AAAAAHcz7wY=")</f>
        <v>#REF!</v>
      </c>
      <c r="H112" t="e">
        <f>AND(#REF!,"AAAAAHcz7wc=")</f>
        <v>#REF!</v>
      </c>
      <c r="I112" t="e">
        <f>AND(#REF!,"AAAAAHcz7wg=")</f>
        <v>#REF!</v>
      </c>
      <c r="J112" t="e">
        <f>AND(#REF!,"AAAAAHcz7wk=")</f>
        <v>#REF!</v>
      </c>
      <c r="K112" t="e">
        <f>AND(#REF!,"AAAAAHcz7wo=")</f>
        <v>#REF!</v>
      </c>
      <c r="L112" t="e">
        <f>AND(#REF!,"AAAAAHcz7ws=")</f>
        <v>#REF!</v>
      </c>
      <c r="M112" t="e">
        <f>AND(#REF!,"AAAAAHcz7ww=")</f>
        <v>#REF!</v>
      </c>
      <c r="N112" t="e">
        <f>AND(#REF!,"AAAAAHcz7w0=")</f>
        <v>#REF!</v>
      </c>
      <c r="O112" t="e">
        <f>AND(#REF!,"AAAAAHcz7w4=")</f>
        <v>#REF!</v>
      </c>
      <c r="P112" t="e">
        <f>AND(#REF!,"AAAAAHcz7w8=")</f>
        <v>#REF!</v>
      </c>
      <c r="Q112" t="e">
        <f>AND(#REF!,"AAAAAHcz7xA=")</f>
        <v>#REF!</v>
      </c>
      <c r="R112" t="e">
        <f>AND(#REF!,"AAAAAHcz7xE=")</f>
        <v>#REF!</v>
      </c>
      <c r="S112" t="e">
        <f>AND(#REF!,"AAAAAHcz7xI=")</f>
        <v>#REF!</v>
      </c>
      <c r="T112" t="e">
        <f>AND(#REF!,"AAAAAHcz7xM=")</f>
        <v>#REF!</v>
      </c>
      <c r="U112" t="e">
        <f>AND(#REF!,"AAAAAHcz7xQ=")</f>
        <v>#REF!</v>
      </c>
      <c r="V112" t="e">
        <f>AND(#REF!,"AAAAAHcz7xU=")</f>
        <v>#REF!</v>
      </c>
      <c r="W112" t="e">
        <f>AND(#REF!,"AAAAAHcz7xY=")</f>
        <v>#REF!</v>
      </c>
      <c r="X112" t="e">
        <f>AND(#REF!,"AAAAAHcz7xc=")</f>
        <v>#REF!</v>
      </c>
      <c r="Y112" t="e">
        <f>IF(#REF!,"AAAAAHcz7xg=",0)</f>
        <v>#REF!</v>
      </c>
      <c r="Z112" t="e">
        <f>AND(#REF!,"AAAAAHcz7xk=")</f>
        <v>#REF!</v>
      </c>
      <c r="AA112" t="e">
        <f>AND(#REF!,"AAAAAHcz7xo=")</f>
        <v>#REF!</v>
      </c>
      <c r="AB112" t="e">
        <f>AND(#REF!,"AAAAAHcz7xs=")</f>
        <v>#REF!</v>
      </c>
      <c r="AC112" t="e">
        <f>AND(#REF!,"AAAAAHcz7xw=")</f>
        <v>#REF!</v>
      </c>
      <c r="AD112" t="e">
        <f>AND(#REF!,"AAAAAHcz7x0=")</f>
        <v>#REF!</v>
      </c>
      <c r="AE112" t="e">
        <f>AND(#REF!,"AAAAAHcz7x4=")</f>
        <v>#REF!</v>
      </c>
      <c r="AF112" t="e">
        <f>AND(#REF!,"AAAAAHcz7x8=")</f>
        <v>#REF!</v>
      </c>
      <c r="AG112" t="e">
        <f>AND(#REF!,"AAAAAHcz7yA=")</f>
        <v>#REF!</v>
      </c>
      <c r="AH112" t="e">
        <f>AND(#REF!,"AAAAAHcz7yE=")</f>
        <v>#REF!</v>
      </c>
      <c r="AI112" t="e">
        <f>AND(#REF!,"AAAAAHcz7yI=")</f>
        <v>#REF!</v>
      </c>
      <c r="AJ112" t="e">
        <f>AND(#REF!,"AAAAAHcz7yM=")</f>
        <v>#REF!</v>
      </c>
      <c r="AK112" t="e">
        <f>AND(#REF!,"AAAAAHcz7yQ=")</f>
        <v>#REF!</v>
      </c>
      <c r="AL112" t="e">
        <f>AND(#REF!,"AAAAAHcz7yU=")</f>
        <v>#REF!</v>
      </c>
      <c r="AM112" t="e">
        <f>AND(#REF!,"AAAAAHcz7yY=")</f>
        <v>#REF!</v>
      </c>
      <c r="AN112" t="e">
        <f>AND(#REF!,"AAAAAHcz7yc=")</f>
        <v>#REF!</v>
      </c>
      <c r="AO112" t="e">
        <f>AND(#REF!,"AAAAAHcz7yg=")</f>
        <v>#REF!</v>
      </c>
      <c r="AP112" t="e">
        <f>AND(#REF!,"AAAAAHcz7yk=")</f>
        <v>#REF!</v>
      </c>
      <c r="AQ112" t="e">
        <f>AND(#REF!,"AAAAAHcz7yo=")</f>
        <v>#REF!</v>
      </c>
      <c r="AR112" t="e">
        <f>AND(#REF!,"AAAAAHcz7ys=")</f>
        <v>#REF!</v>
      </c>
      <c r="AS112" t="e">
        <f>AND(#REF!,"AAAAAHcz7yw=")</f>
        <v>#REF!</v>
      </c>
      <c r="AT112" t="e">
        <f>AND(#REF!,"AAAAAHcz7y0=")</f>
        <v>#REF!</v>
      </c>
      <c r="AU112" t="e">
        <f>AND(#REF!,"AAAAAHcz7y4=")</f>
        <v>#REF!</v>
      </c>
      <c r="AV112" t="e">
        <f>AND(#REF!,"AAAAAHcz7y8=")</f>
        <v>#REF!</v>
      </c>
      <c r="AW112" t="e">
        <f>AND(#REF!,"AAAAAHcz7zA=")</f>
        <v>#REF!</v>
      </c>
      <c r="AX112" t="e">
        <f>AND(#REF!,"AAAAAHcz7zE=")</f>
        <v>#REF!</v>
      </c>
      <c r="AY112" t="e">
        <f>AND(#REF!,"AAAAAHcz7zI=")</f>
        <v>#REF!</v>
      </c>
      <c r="AZ112" t="e">
        <f>IF(#REF!,"AAAAAHcz7zM=",0)</f>
        <v>#REF!</v>
      </c>
      <c r="BA112" t="e">
        <f>AND(#REF!,"AAAAAHcz7zQ=")</f>
        <v>#REF!</v>
      </c>
      <c r="BB112" t="e">
        <f>AND(#REF!,"AAAAAHcz7zU=")</f>
        <v>#REF!</v>
      </c>
      <c r="BC112" t="e">
        <f>AND(#REF!,"AAAAAHcz7zY=")</f>
        <v>#REF!</v>
      </c>
      <c r="BD112" t="e">
        <f>AND(#REF!,"AAAAAHcz7zc=")</f>
        <v>#REF!</v>
      </c>
      <c r="BE112" t="e">
        <f>AND(#REF!,"AAAAAHcz7zg=")</f>
        <v>#REF!</v>
      </c>
      <c r="BF112" t="e">
        <f>AND(#REF!,"AAAAAHcz7zk=")</f>
        <v>#REF!</v>
      </c>
      <c r="BG112" t="e">
        <f>AND(#REF!,"AAAAAHcz7zo=")</f>
        <v>#REF!</v>
      </c>
      <c r="BH112" t="e">
        <f>AND(#REF!,"AAAAAHcz7zs=")</f>
        <v>#REF!</v>
      </c>
      <c r="BI112" t="e">
        <f>AND(#REF!,"AAAAAHcz7zw=")</f>
        <v>#REF!</v>
      </c>
      <c r="BJ112" t="e">
        <f>AND(#REF!,"AAAAAHcz7z0=")</f>
        <v>#REF!</v>
      </c>
      <c r="BK112" t="e">
        <f>AND(#REF!,"AAAAAHcz7z4=")</f>
        <v>#REF!</v>
      </c>
      <c r="BL112" t="e">
        <f>AND(#REF!,"AAAAAHcz7z8=")</f>
        <v>#REF!</v>
      </c>
      <c r="BM112" t="e">
        <f>AND(#REF!,"AAAAAHcz70A=")</f>
        <v>#REF!</v>
      </c>
      <c r="BN112" t="e">
        <f>AND(#REF!,"AAAAAHcz70E=")</f>
        <v>#REF!</v>
      </c>
      <c r="BO112" t="e">
        <f>AND(#REF!,"AAAAAHcz70I=")</f>
        <v>#REF!</v>
      </c>
      <c r="BP112" t="e">
        <f>AND(#REF!,"AAAAAHcz70M=")</f>
        <v>#REF!</v>
      </c>
      <c r="BQ112" t="e">
        <f>AND(#REF!,"AAAAAHcz70Q=")</f>
        <v>#REF!</v>
      </c>
      <c r="BR112" t="e">
        <f>AND(#REF!,"AAAAAHcz70U=")</f>
        <v>#REF!</v>
      </c>
      <c r="BS112" t="e">
        <f>AND(#REF!,"AAAAAHcz70Y=")</f>
        <v>#REF!</v>
      </c>
      <c r="BT112" t="e">
        <f>AND(#REF!,"AAAAAHcz70c=")</f>
        <v>#REF!</v>
      </c>
      <c r="BU112" t="e">
        <f>AND(#REF!,"AAAAAHcz70g=")</f>
        <v>#REF!</v>
      </c>
      <c r="BV112" t="e">
        <f>AND(#REF!,"AAAAAHcz70k=")</f>
        <v>#REF!</v>
      </c>
      <c r="BW112" t="e">
        <f>AND(#REF!,"AAAAAHcz70o=")</f>
        <v>#REF!</v>
      </c>
      <c r="BX112" t="e">
        <f>AND(#REF!,"AAAAAHcz70s=")</f>
        <v>#REF!</v>
      </c>
      <c r="BY112" t="e">
        <f>AND(#REF!,"AAAAAHcz70w=")</f>
        <v>#REF!</v>
      </c>
      <c r="BZ112" t="e">
        <f>AND(#REF!,"AAAAAHcz700=")</f>
        <v>#REF!</v>
      </c>
      <c r="CA112" t="e">
        <f>IF(#REF!,"AAAAAHcz704=",0)</f>
        <v>#REF!</v>
      </c>
      <c r="CB112" t="e">
        <f>AND(#REF!,"AAAAAHcz708=")</f>
        <v>#REF!</v>
      </c>
      <c r="CC112" t="e">
        <f>AND(#REF!,"AAAAAHcz71A=")</f>
        <v>#REF!</v>
      </c>
      <c r="CD112" t="e">
        <f>AND(#REF!,"AAAAAHcz71E=")</f>
        <v>#REF!</v>
      </c>
      <c r="CE112" t="e">
        <f>AND(#REF!,"AAAAAHcz71I=")</f>
        <v>#REF!</v>
      </c>
      <c r="CF112" t="e">
        <f>AND(#REF!,"AAAAAHcz71M=")</f>
        <v>#REF!</v>
      </c>
      <c r="CG112" t="e">
        <f>AND(#REF!,"AAAAAHcz71Q=")</f>
        <v>#REF!</v>
      </c>
      <c r="CH112" t="e">
        <f>AND(#REF!,"AAAAAHcz71U=")</f>
        <v>#REF!</v>
      </c>
      <c r="CI112" t="e">
        <f>AND(#REF!,"AAAAAHcz71Y=")</f>
        <v>#REF!</v>
      </c>
      <c r="CJ112" t="e">
        <f>AND(#REF!,"AAAAAHcz71c=")</f>
        <v>#REF!</v>
      </c>
      <c r="CK112" t="e">
        <f>AND(#REF!,"AAAAAHcz71g=")</f>
        <v>#REF!</v>
      </c>
      <c r="CL112" t="e">
        <f>AND(#REF!,"AAAAAHcz71k=")</f>
        <v>#REF!</v>
      </c>
      <c r="CM112" t="e">
        <f>AND(#REF!,"AAAAAHcz71o=")</f>
        <v>#REF!</v>
      </c>
      <c r="CN112" t="e">
        <f>AND(#REF!,"AAAAAHcz71s=")</f>
        <v>#REF!</v>
      </c>
      <c r="CO112" t="e">
        <f>AND(#REF!,"AAAAAHcz71w=")</f>
        <v>#REF!</v>
      </c>
      <c r="CP112" t="e">
        <f>AND(#REF!,"AAAAAHcz710=")</f>
        <v>#REF!</v>
      </c>
      <c r="CQ112" t="e">
        <f>AND(#REF!,"AAAAAHcz714=")</f>
        <v>#REF!</v>
      </c>
      <c r="CR112" t="e">
        <f>AND(#REF!,"AAAAAHcz718=")</f>
        <v>#REF!</v>
      </c>
      <c r="CS112" t="e">
        <f>AND(#REF!,"AAAAAHcz72A=")</f>
        <v>#REF!</v>
      </c>
      <c r="CT112" t="e">
        <f>AND(#REF!,"AAAAAHcz72E=")</f>
        <v>#REF!</v>
      </c>
      <c r="CU112" t="e">
        <f>AND(#REF!,"AAAAAHcz72I=")</f>
        <v>#REF!</v>
      </c>
      <c r="CV112" t="e">
        <f>AND(#REF!,"AAAAAHcz72M=")</f>
        <v>#REF!</v>
      </c>
      <c r="CW112" t="e">
        <f>AND(#REF!,"AAAAAHcz72Q=")</f>
        <v>#REF!</v>
      </c>
      <c r="CX112" t="e">
        <f>AND(#REF!,"AAAAAHcz72U=")</f>
        <v>#REF!</v>
      </c>
      <c r="CY112" t="e">
        <f>AND(#REF!,"AAAAAHcz72Y=")</f>
        <v>#REF!</v>
      </c>
      <c r="CZ112" t="e">
        <f>AND(#REF!,"AAAAAHcz72c=")</f>
        <v>#REF!</v>
      </c>
      <c r="DA112" t="e">
        <f>AND(#REF!,"AAAAAHcz72g=")</f>
        <v>#REF!</v>
      </c>
      <c r="DB112" t="e">
        <f>IF(#REF!,"AAAAAHcz72k=",0)</f>
        <v>#REF!</v>
      </c>
      <c r="DC112" t="e">
        <f>AND(#REF!,"AAAAAHcz72o=")</f>
        <v>#REF!</v>
      </c>
      <c r="DD112" t="e">
        <f>AND(#REF!,"AAAAAHcz72s=")</f>
        <v>#REF!</v>
      </c>
      <c r="DE112" t="e">
        <f>AND(#REF!,"AAAAAHcz72w=")</f>
        <v>#REF!</v>
      </c>
      <c r="DF112" t="e">
        <f>AND(#REF!,"AAAAAHcz720=")</f>
        <v>#REF!</v>
      </c>
      <c r="DG112" t="e">
        <f>AND(#REF!,"AAAAAHcz724=")</f>
        <v>#REF!</v>
      </c>
      <c r="DH112" t="e">
        <f>AND(#REF!,"AAAAAHcz728=")</f>
        <v>#REF!</v>
      </c>
      <c r="DI112" t="e">
        <f>AND(#REF!,"AAAAAHcz73A=")</f>
        <v>#REF!</v>
      </c>
      <c r="DJ112" t="e">
        <f>AND(#REF!,"AAAAAHcz73E=")</f>
        <v>#REF!</v>
      </c>
      <c r="DK112" t="e">
        <f>AND(#REF!,"AAAAAHcz73I=")</f>
        <v>#REF!</v>
      </c>
      <c r="DL112" t="e">
        <f>AND(#REF!,"AAAAAHcz73M=")</f>
        <v>#REF!</v>
      </c>
      <c r="DM112" t="e">
        <f>AND(#REF!,"AAAAAHcz73Q=")</f>
        <v>#REF!</v>
      </c>
      <c r="DN112" t="e">
        <f>AND(#REF!,"AAAAAHcz73U=")</f>
        <v>#REF!</v>
      </c>
      <c r="DO112" t="e">
        <f>AND(#REF!,"AAAAAHcz73Y=")</f>
        <v>#REF!</v>
      </c>
      <c r="DP112" t="e">
        <f>AND(#REF!,"AAAAAHcz73c=")</f>
        <v>#REF!</v>
      </c>
      <c r="DQ112" t="e">
        <f>AND(#REF!,"AAAAAHcz73g=")</f>
        <v>#REF!</v>
      </c>
      <c r="DR112" t="e">
        <f>AND(#REF!,"AAAAAHcz73k=")</f>
        <v>#REF!</v>
      </c>
      <c r="DS112" t="e">
        <f>AND(#REF!,"AAAAAHcz73o=")</f>
        <v>#REF!</v>
      </c>
      <c r="DT112" t="e">
        <f>AND(#REF!,"AAAAAHcz73s=")</f>
        <v>#REF!</v>
      </c>
      <c r="DU112" t="e">
        <f>AND(#REF!,"AAAAAHcz73w=")</f>
        <v>#REF!</v>
      </c>
      <c r="DV112" t="e">
        <f>AND(#REF!,"AAAAAHcz730=")</f>
        <v>#REF!</v>
      </c>
      <c r="DW112" t="e">
        <f>AND(#REF!,"AAAAAHcz734=")</f>
        <v>#REF!</v>
      </c>
      <c r="DX112" t="e">
        <f>AND(#REF!,"AAAAAHcz738=")</f>
        <v>#REF!</v>
      </c>
      <c r="DY112" t="e">
        <f>AND(#REF!,"AAAAAHcz74A=")</f>
        <v>#REF!</v>
      </c>
      <c r="DZ112" t="e">
        <f>AND(#REF!,"AAAAAHcz74E=")</f>
        <v>#REF!</v>
      </c>
      <c r="EA112" t="e">
        <f>AND(#REF!,"AAAAAHcz74I=")</f>
        <v>#REF!</v>
      </c>
      <c r="EB112" t="e">
        <f>AND(#REF!,"AAAAAHcz74M=")</f>
        <v>#REF!</v>
      </c>
      <c r="EC112" t="e">
        <f>IF(#REF!,"AAAAAHcz74Q=",0)</f>
        <v>#REF!</v>
      </c>
      <c r="ED112" t="e">
        <f>AND(#REF!,"AAAAAHcz74U=")</f>
        <v>#REF!</v>
      </c>
      <c r="EE112" t="e">
        <f>AND(#REF!,"AAAAAHcz74Y=")</f>
        <v>#REF!</v>
      </c>
      <c r="EF112" t="e">
        <f>AND(#REF!,"AAAAAHcz74c=")</f>
        <v>#REF!</v>
      </c>
      <c r="EG112" t="e">
        <f>AND(#REF!,"AAAAAHcz74g=")</f>
        <v>#REF!</v>
      </c>
      <c r="EH112" t="e">
        <f>AND(#REF!,"AAAAAHcz74k=")</f>
        <v>#REF!</v>
      </c>
      <c r="EI112" t="e">
        <f>AND(#REF!,"AAAAAHcz74o=")</f>
        <v>#REF!</v>
      </c>
      <c r="EJ112" t="e">
        <f>AND(#REF!,"AAAAAHcz74s=")</f>
        <v>#REF!</v>
      </c>
      <c r="EK112" t="e">
        <f>AND(#REF!,"AAAAAHcz74w=")</f>
        <v>#REF!</v>
      </c>
      <c r="EL112" t="e">
        <f>AND(#REF!,"AAAAAHcz740=")</f>
        <v>#REF!</v>
      </c>
      <c r="EM112" t="e">
        <f>AND(#REF!,"AAAAAHcz744=")</f>
        <v>#REF!</v>
      </c>
      <c r="EN112" t="e">
        <f>AND(#REF!,"AAAAAHcz748=")</f>
        <v>#REF!</v>
      </c>
      <c r="EO112" t="e">
        <f>AND(#REF!,"AAAAAHcz75A=")</f>
        <v>#REF!</v>
      </c>
      <c r="EP112" t="e">
        <f>AND(#REF!,"AAAAAHcz75E=")</f>
        <v>#REF!</v>
      </c>
      <c r="EQ112" t="e">
        <f>AND(#REF!,"AAAAAHcz75I=")</f>
        <v>#REF!</v>
      </c>
      <c r="ER112" t="e">
        <f>AND(#REF!,"AAAAAHcz75M=")</f>
        <v>#REF!</v>
      </c>
      <c r="ES112" t="e">
        <f>AND(#REF!,"AAAAAHcz75Q=")</f>
        <v>#REF!</v>
      </c>
      <c r="ET112" t="e">
        <f>AND(#REF!,"AAAAAHcz75U=")</f>
        <v>#REF!</v>
      </c>
      <c r="EU112" t="e">
        <f>AND(#REF!,"AAAAAHcz75Y=")</f>
        <v>#REF!</v>
      </c>
      <c r="EV112" t="e">
        <f>AND(#REF!,"AAAAAHcz75c=")</f>
        <v>#REF!</v>
      </c>
      <c r="EW112" t="e">
        <f>AND(#REF!,"AAAAAHcz75g=")</f>
        <v>#REF!</v>
      </c>
      <c r="EX112" t="e">
        <f>AND(#REF!,"AAAAAHcz75k=")</f>
        <v>#REF!</v>
      </c>
      <c r="EY112" t="e">
        <f>AND(#REF!,"AAAAAHcz75o=")</f>
        <v>#REF!</v>
      </c>
      <c r="EZ112" t="e">
        <f>AND(#REF!,"AAAAAHcz75s=")</f>
        <v>#REF!</v>
      </c>
      <c r="FA112" t="e">
        <f>AND(#REF!,"AAAAAHcz75w=")</f>
        <v>#REF!</v>
      </c>
      <c r="FB112" t="e">
        <f>AND(#REF!,"AAAAAHcz750=")</f>
        <v>#REF!</v>
      </c>
      <c r="FC112" t="e">
        <f>AND(#REF!,"AAAAAHcz754=")</f>
        <v>#REF!</v>
      </c>
      <c r="FD112" t="e">
        <f>IF(#REF!,"AAAAAHcz758=",0)</f>
        <v>#REF!</v>
      </c>
      <c r="FE112" t="e">
        <f>AND(#REF!,"AAAAAHcz76A=")</f>
        <v>#REF!</v>
      </c>
      <c r="FF112" t="e">
        <f>AND(#REF!,"AAAAAHcz76E=")</f>
        <v>#REF!</v>
      </c>
      <c r="FG112" t="e">
        <f>AND(#REF!,"AAAAAHcz76I=")</f>
        <v>#REF!</v>
      </c>
      <c r="FH112" t="e">
        <f>AND(#REF!,"AAAAAHcz76M=")</f>
        <v>#REF!</v>
      </c>
      <c r="FI112" t="e">
        <f>AND(#REF!,"AAAAAHcz76Q=")</f>
        <v>#REF!</v>
      </c>
      <c r="FJ112" t="e">
        <f>AND(#REF!,"AAAAAHcz76U=")</f>
        <v>#REF!</v>
      </c>
      <c r="FK112" t="e">
        <f>AND(#REF!,"AAAAAHcz76Y=")</f>
        <v>#REF!</v>
      </c>
      <c r="FL112" t="e">
        <f>AND(#REF!,"AAAAAHcz76c=")</f>
        <v>#REF!</v>
      </c>
      <c r="FM112" t="e">
        <f>AND(#REF!,"AAAAAHcz76g=")</f>
        <v>#REF!</v>
      </c>
      <c r="FN112" t="e">
        <f>AND(#REF!,"AAAAAHcz76k=")</f>
        <v>#REF!</v>
      </c>
      <c r="FO112" t="e">
        <f>AND(#REF!,"AAAAAHcz76o=")</f>
        <v>#REF!</v>
      </c>
      <c r="FP112" t="e">
        <f>AND(#REF!,"AAAAAHcz76s=")</f>
        <v>#REF!</v>
      </c>
      <c r="FQ112" t="e">
        <f>AND(#REF!,"AAAAAHcz76w=")</f>
        <v>#REF!</v>
      </c>
      <c r="FR112" t="e">
        <f>AND(#REF!,"AAAAAHcz760=")</f>
        <v>#REF!</v>
      </c>
      <c r="FS112" t="e">
        <f>AND(#REF!,"AAAAAHcz764=")</f>
        <v>#REF!</v>
      </c>
      <c r="FT112" t="e">
        <f>AND(#REF!,"AAAAAHcz768=")</f>
        <v>#REF!</v>
      </c>
      <c r="FU112" t="e">
        <f>AND(#REF!,"AAAAAHcz77A=")</f>
        <v>#REF!</v>
      </c>
      <c r="FV112" t="e">
        <f>AND(#REF!,"AAAAAHcz77E=")</f>
        <v>#REF!</v>
      </c>
      <c r="FW112" t="e">
        <f>AND(#REF!,"AAAAAHcz77I=")</f>
        <v>#REF!</v>
      </c>
      <c r="FX112" t="e">
        <f>AND(#REF!,"AAAAAHcz77M=")</f>
        <v>#REF!</v>
      </c>
      <c r="FY112" t="e">
        <f>AND(#REF!,"AAAAAHcz77Q=")</f>
        <v>#REF!</v>
      </c>
      <c r="FZ112" t="e">
        <f>AND(#REF!,"AAAAAHcz77U=")</f>
        <v>#REF!</v>
      </c>
      <c r="GA112" t="e">
        <f>AND(#REF!,"AAAAAHcz77Y=")</f>
        <v>#REF!</v>
      </c>
      <c r="GB112" t="e">
        <f>AND(#REF!,"AAAAAHcz77c=")</f>
        <v>#REF!</v>
      </c>
      <c r="GC112" t="e">
        <f>AND(#REF!,"AAAAAHcz77g=")</f>
        <v>#REF!</v>
      </c>
      <c r="GD112" t="e">
        <f>AND(#REF!,"AAAAAHcz77k=")</f>
        <v>#REF!</v>
      </c>
      <c r="GE112" t="e">
        <f>IF(#REF!,"AAAAAHcz77o=",0)</f>
        <v>#REF!</v>
      </c>
      <c r="GF112" t="e">
        <f>AND(#REF!,"AAAAAHcz77s=")</f>
        <v>#REF!</v>
      </c>
      <c r="GG112" t="e">
        <f>AND(#REF!,"AAAAAHcz77w=")</f>
        <v>#REF!</v>
      </c>
      <c r="GH112" t="e">
        <f>AND(#REF!,"AAAAAHcz770=")</f>
        <v>#REF!</v>
      </c>
      <c r="GI112" t="e">
        <f>AND(#REF!,"AAAAAHcz774=")</f>
        <v>#REF!</v>
      </c>
      <c r="GJ112" t="e">
        <f>AND(#REF!,"AAAAAHcz778=")</f>
        <v>#REF!</v>
      </c>
      <c r="GK112" t="e">
        <f>AND(#REF!,"AAAAAHcz78A=")</f>
        <v>#REF!</v>
      </c>
      <c r="GL112" t="e">
        <f>AND(#REF!,"AAAAAHcz78E=")</f>
        <v>#REF!</v>
      </c>
      <c r="GM112" t="e">
        <f>AND(#REF!,"AAAAAHcz78I=")</f>
        <v>#REF!</v>
      </c>
      <c r="GN112" t="e">
        <f>AND(#REF!,"AAAAAHcz78M=")</f>
        <v>#REF!</v>
      </c>
      <c r="GO112" t="e">
        <f>AND(#REF!,"AAAAAHcz78Q=")</f>
        <v>#REF!</v>
      </c>
      <c r="GP112" t="e">
        <f>AND(#REF!,"AAAAAHcz78U=")</f>
        <v>#REF!</v>
      </c>
      <c r="GQ112" t="e">
        <f>AND(#REF!,"AAAAAHcz78Y=")</f>
        <v>#REF!</v>
      </c>
      <c r="GR112" t="e">
        <f>AND(#REF!,"AAAAAHcz78c=")</f>
        <v>#REF!</v>
      </c>
      <c r="GS112" t="e">
        <f>AND(#REF!,"AAAAAHcz78g=")</f>
        <v>#REF!</v>
      </c>
      <c r="GT112" t="e">
        <f>AND(#REF!,"AAAAAHcz78k=")</f>
        <v>#REF!</v>
      </c>
      <c r="GU112" t="e">
        <f>AND(#REF!,"AAAAAHcz78o=")</f>
        <v>#REF!</v>
      </c>
      <c r="GV112" t="e">
        <f>AND(#REF!,"AAAAAHcz78s=")</f>
        <v>#REF!</v>
      </c>
      <c r="GW112" t="e">
        <f>AND(#REF!,"AAAAAHcz78w=")</f>
        <v>#REF!</v>
      </c>
      <c r="GX112" t="e">
        <f>AND(#REF!,"AAAAAHcz780=")</f>
        <v>#REF!</v>
      </c>
      <c r="GY112" t="e">
        <f>AND(#REF!,"AAAAAHcz784=")</f>
        <v>#REF!</v>
      </c>
      <c r="GZ112" t="e">
        <f>AND(#REF!,"AAAAAHcz788=")</f>
        <v>#REF!</v>
      </c>
      <c r="HA112" t="e">
        <f>AND(#REF!,"AAAAAHcz79A=")</f>
        <v>#REF!</v>
      </c>
      <c r="HB112" t="e">
        <f>AND(#REF!,"AAAAAHcz79E=")</f>
        <v>#REF!</v>
      </c>
      <c r="HC112" t="e">
        <f>AND(#REF!,"AAAAAHcz79I=")</f>
        <v>#REF!</v>
      </c>
      <c r="HD112" t="e">
        <f>AND(#REF!,"AAAAAHcz79M=")</f>
        <v>#REF!</v>
      </c>
      <c r="HE112" t="e">
        <f>AND(#REF!,"AAAAAHcz79Q=")</f>
        <v>#REF!</v>
      </c>
      <c r="HF112" t="e">
        <f>IF(#REF!,"AAAAAHcz79U=",0)</f>
        <v>#REF!</v>
      </c>
      <c r="HG112" t="e">
        <f>AND(#REF!,"AAAAAHcz79Y=")</f>
        <v>#REF!</v>
      </c>
      <c r="HH112" t="e">
        <f>AND(#REF!,"AAAAAHcz79c=")</f>
        <v>#REF!</v>
      </c>
      <c r="HI112" t="e">
        <f>AND(#REF!,"AAAAAHcz79g=")</f>
        <v>#REF!</v>
      </c>
      <c r="HJ112" t="e">
        <f>AND(#REF!,"AAAAAHcz79k=")</f>
        <v>#REF!</v>
      </c>
      <c r="HK112" t="e">
        <f>AND(#REF!,"AAAAAHcz79o=")</f>
        <v>#REF!</v>
      </c>
      <c r="HL112" t="e">
        <f>AND(#REF!,"AAAAAHcz79s=")</f>
        <v>#REF!</v>
      </c>
      <c r="HM112" t="e">
        <f>AND(#REF!,"AAAAAHcz79w=")</f>
        <v>#REF!</v>
      </c>
      <c r="HN112" t="e">
        <f>AND(#REF!,"AAAAAHcz790=")</f>
        <v>#REF!</v>
      </c>
      <c r="HO112" t="e">
        <f>AND(#REF!,"AAAAAHcz794=")</f>
        <v>#REF!</v>
      </c>
      <c r="HP112" t="e">
        <f>AND(#REF!,"AAAAAHcz798=")</f>
        <v>#REF!</v>
      </c>
      <c r="HQ112" t="e">
        <f>AND(#REF!,"AAAAAHcz7+A=")</f>
        <v>#REF!</v>
      </c>
      <c r="HR112" t="e">
        <f>AND(#REF!,"AAAAAHcz7+E=")</f>
        <v>#REF!</v>
      </c>
      <c r="HS112" t="e">
        <f>AND(#REF!,"AAAAAHcz7+I=")</f>
        <v>#REF!</v>
      </c>
      <c r="HT112" t="e">
        <f>AND(#REF!,"AAAAAHcz7+M=")</f>
        <v>#REF!</v>
      </c>
      <c r="HU112" t="e">
        <f>AND(#REF!,"AAAAAHcz7+Q=")</f>
        <v>#REF!</v>
      </c>
      <c r="HV112" t="e">
        <f>AND(#REF!,"AAAAAHcz7+U=")</f>
        <v>#REF!</v>
      </c>
      <c r="HW112" t="e">
        <f>AND(#REF!,"AAAAAHcz7+Y=")</f>
        <v>#REF!</v>
      </c>
      <c r="HX112" t="e">
        <f>AND(#REF!,"AAAAAHcz7+c=")</f>
        <v>#REF!</v>
      </c>
      <c r="HY112" t="e">
        <f>AND(#REF!,"AAAAAHcz7+g=")</f>
        <v>#REF!</v>
      </c>
      <c r="HZ112" t="e">
        <f>AND(#REF!,"AAAAAHcz7+k=")</f>
        <v>#REF!</v>
      </c>
      <c r="IA112" t="e">
        <f>AND(#REF!,"AAAAAHcz7+o=")</f>
        <v>#REF!</v>
      </c>
      <c r="IB112" t="e">
        <f>AND(#REF!,"AAAAAHcz7+s=")</f>
        <v>#REF!</v>
      </c>
      <c r="IC112" t="e">
        <f>AND(#REF!,"AAAAAHcz7+w=")</f>
        <v>#REF!</v>
      </c>
      <c r="ID112" t="e">
        <f>AND(#REF!,"AAAAAHcz7+0=")</f>
        <v>#REF!</v>
      </c>
      <c r="IE112" t="e">
        <f>AND(#REF!,"AAAAAHcz7+4=")</f>
        <v>#REF!</v>
      </c>
      <c r="IF112" t="e">
        <f>AND(#REF!,"AAAAAHcz7+8=")</f>
        <v>#REF!</v>
      </c>
      <c r="IG112" t="e">
        <f>IF(#REF!,"AAAAAHcz7/A=",0)</f>
        <v>#REF!</v>
      </c>
      <c r="IH112" t="e">
        <f>AND(#REF!,"AAAAAHcz7/E=")</f>
        <v>#REF!</v>
      </c>
      <c r="II112" t="e">
        <f>AND(#REF!,"AAAAAHcz7/I=")</f>
        <v>#REF!</v>
      </c>
      <c r="IJ112" t="e">
        <f>AND(#REF!,"AAAAAHcz7/M=")</f>
        <v>#REF!</v>
      </c>
      <c r="IK112" t="e">
        <f>AND(#REF!,"AAAAAHcz7/Q=")</f>
        <v>#REF!</v>
      </c>
      <c r="IL112" t="e">
        <f>AND(#REF!,"AAAAAHcz7/U=")</f>
        <v>#REF!</v>
      </c>
      <c r="IM112" t="e">
        <f>AND(#REF!,"AAAAAHcz7/Y=")</f>
        <v>#REF!</v>
      </c>
      <c r="IN112" t="e">
        <f>AND(#REF!,"AAAAAHcz7/c=")</f>
        <v>#REF!</v>
      </c>
      <c r="IO112" t="e">
        <f>AND(#REF!,"AAAAAHcz7/g=")</f>
        <v>#REF!</v>
      </c>
      <c r="IP112" t="e">
        <f>AND(#REF!,"AAAAAHcz7/k=")</f>
        <v>#REF!</v>
      </c>
      <c r="IQ112" t="e">
        <f>AND(#REF!,"AAAAAHcz7/o=")</f>
        <v>#REF!</v>
      </c>
      <c r="IR112" t="e">
        <f>AND(#REF!,"AAAAAHcz7/s=")</f>
        <v>#REF!</v>
      </c>
      <c r="IS112" t="e">
        <f>AND(#REF!,"AAAAAHcz7/w=")</f>
        <v>#REF!</v>
      </c>
      <c r="IT112" t="e">
        <f>AND(#REF!,"AAAAAHcz7/0=")</f>
        <v>#REF!</v>
      </c>
      <c r="IU112" t="e">
        <f>AND(#REF!,"AAAAAHcz7/4=")</f>
        <v>#REF!</v>
      </c>
      <c r="IV112" t="e">
        <f>AND(#REF!,"AAAAAHcz7/8=")</f>
        <v>#REF!</v>
      </c>
    </row>
    <row r="113" spans="1:256" x14ac:dyDescent="0.2">
      <c r="A113" t="e">
        <f>AND(#REF!,"AAAAAH/r/wA=")</f>
        <v>#REF!</v>
      </c>
      <c r="B113" t="e">
        <f>AND(#REF!,"AAAAAH/r/wE=")</f>
        <v>#REF!</v>
      </c>
      <c r="C113" t="e">
        <f>AND(#REF!,"AAAAAH/r/wI=")</f>
        <v>#REF!</v>
      </c>
      <c r="D113" t="e">
        <f>AND(#REF!,"AAAAAH/r/wM=")</f>
        <v>#REF!</v>
      </c>
      <c r="E113" t="e">
        <f>AND(#REF!,"AAAAAH/r/wQ=")</f>
        <v>#REF!</v>
      </c>
      <c r="F113" t="e">
        <f>AND(#REF!,"AAAAAH/r/wU=")</f>
        <v>#REF!</v>
      </c>
      <c r="G113" t="e">
        <f>AND(#REF!,"AAAAAH/r/wY=")</f>
        <v>#REF!</v>
      </c>
      <c r="H113" t="e">
        <f>AND(#REF!,"AAAAAH/r/wc=")</f>
        <v>#REF!</v>
      </c>
      <c r="I113" t="e">
        <f>AND(#REF!,"AAAAAH/r/wg=")</f>
        <v>#REF!</v>
      </c>
      <c r="J113" t="e">
        <f>AND(#REF!,"AAAAAH/r/wk=")</f>
        <v>#REF!</v>
      </c>
      <c r="K113" t="e">
        <f>AND(#REF!,"AAAAAH/r/wo=")</f>
        <v>#REF!</v>
      </c>
      <c r="L113" t="e">
        <f>IF(#REF!,"AAAAAH/r/ws=",0)</f>
        <v>#REF!</v>
      </c>
      <c r="M113" t="e">
        <f>AND(#REF!,"AAAAAH/r/ww=")</f>
        <v>#REF!</v>
      </c>
      <c r="N113" t="e">
        <f>AND(#REF!,"AAAAAH/r/w0=")</f>
        <v>#REF!</v>
      </c>
      <c r="O113" t="e">
        <f>AND(#REF!,"AAAAAH/r/w4=")</f>
        <v>#REF!</v>
      </c>
      <c r="P113" t="e">
        <f>AND(#REF!,"AAAAAH/r/w8=")</f>
        <v>#REF!</v>
      </c>
      <c r="Q113" t="e">
        <f>AND(#REF!,"AAAAAH/r/xA=")</f>
        <v>#REF!</v>
      </c>
      <c r="R113" t="e">
        <f>AND(#REF!,"AAAAAH/r/xE=")</f>
        <v>#REF!</v>
      </c>
      <c r="S113" t="e">
        <f>AND(#REF!,"AAAAAH/r/xI=")</f>
        <v>#REF!</v>
      </c>
      <c r="T113" t="e">
        <f>AND(#REF!,"AAAAAH/r/xM=")</f>
        <v>#REF!</v>
      </c>
      <c r="U113" t="e">
        <f>AND(#REF!,"AAAAAH/r/xQ=")</f>
        <v>#REF!</v>
      </c>
      <c r="V113" t="e">
        <f>AND(#REF!,"AAAAAH/r/xU=")</f>
        <v>#REF!</v>
      </c>
      <c r="W113" t="e">
        <f>AND(#REF!,"AAAAAH/r/xY=")</f>
        <v>#REF!</v>
      </c>
      <c r="X113" t="e">
        <f>AND(#REF!,"AAAAAH/r/xc=")</f>
        <v>#REF!</v>
      </c>
      <c r="Y113" t="e">
        <f>AND(#REF!,"AAAAAH/r/xg=")</f>
        <v>#REF!</v>
      </c>
      <c r="Z113" t="e">
        <f>AND(#REF!,"AAAAAH/r/xk=")</f>
        <v>#REF!</v>
      </c>
      <c r="AA113" t="e">
        <f>AND(#REF!,"AAAAAH/r/xo=")</f>
        <v>#REF!</v>
      </c>
      <c r="AB113" t="e">
        <f>AND(#REF!,"AAAAAH/r/xs=")</f>
        <v>#REF!</v>
      </c>
      <c r="AC113" t="e">
        <f>AND(#REF!,"AAAAAH/r/xw=")</f>
        <v>#REF!</v>
      </c>
      <c r="AD113" t="e">
        <f>AND(#REF!,"AAAAAH/r/x0=")</f>
        <v>#REF!</v>
      </c>
      <c r="AE113" t="e">
        <f>AND(#REF!,"AAAAAH/r/x4=")</f>
        <v>#REF!</v>
      </c>
      <c r="AF113" t="e">
        <f>AND(#REF!,"AAAAAH/r/x8=")</f>
        <v>#REF!</v>
      </c>
      <c r="AG113" t="e">
        <f>AND(#REF!,"AAAAAH/r/yA=")</f>
        <v>#REF!</v>
      </c>
      <c r="AH113" t="e">
        <f>AND(#REF!,"AAAAAH/r/yE=")</f>
        <v>#REF!</v>
      </c>
      <c r="AI113" t="e">
        <f>AND(#REF!,"AAAAAH/r/yI=")</f>
        <v>#REF!</v>
      </c>
      <c r="AJ113" t="e">
        <f>AND(#REF!,"AAAAAH/r/yM=")</f>
        <v>#REF!</v>
      </c>
      <c r="AK113" t="e">
        <f>AND(#REF!,"AAAAAH/r/yQ=")</f>
        <v>#REF!</v>
      </c>
      <c r="AL113" t="e">
        <f>AND(#REF!,"AAAAAH/r/yU=")</f>
        <v>#REF!</v>
      </c>
      <c r="AM113" t="e">
        <f>IF(#REF!,"AAAAAH/r/yY=",0)</f>
        <v>#REF!</v>
      </c>
      <c r="AN113" t="e">
        <f>AND(#REF!,"AAAAAH/r/yc=")</f>
        <v>#REF!</v>
      </c>
      <c r="AO113" t="e">
        <f>AND(#REF!,"AAAAAH/r/yg=")</f>
        <v>#REF!</v>
      </c>
      <c r="AP113" t="e">
        <f>AND(#REF!,"AAAAAH/r/yk=")</f>
        <v>#REF!</v>
      </c>
      <c r="AQ113" t="e">
        <f>AND(#REF!,"AAAAAH/r/yo=")</f>
        <v>#REF!</v>
      </c>
      <c r="AR113" t="e">
        <f>AND(#REF!,"AAAAAH/r/ys=")</f>
        <v>#REF!</v>
      </c>
      <c r="AS113" t="e">
        <f>AND(#REF!,"AAAAAH/r/yw=")</f>
        <v>#REF!</v>
      </c>
      <c r="AT113" t="e">
        <f>AND(#REF!,"AAAAAH/r/y0=")</f>
        <v>#REF!</v>
      </c>
      <c r="AU113" t="e">
        <f>AND(#REF!,"AAAAAH/r/y4=")</f>
        <v>#REF!</v>
      </c>
      <c r="AV113" t="e">
        <f>AND(#REF!,"AAAAAH/r/y8=")</f>
        <v>#REF!</v>
      </c>
      <c r="AW113" t="e">
        <f>AND(#REF!,"AAAAAH/r/zA=")</f>
        <v>#REF!</v>
      </c>
      <c r="AX113" t="e">
        <f>AND(#REF!,"AAAAAH/r/zE=")</f>
        <v>#REF!</v>
      </c>
      <c r="AY113" t="e">
        <f>AND(#REF!,"AAAAAH/r/zI=")</f>
        <v>#REF!</v>
      </c>
      <c r="AZ113" t="e">
        <f>AND(#REF!,"AAAAAH/r/zM=")</f>
        <v>#REF!</v>
      </c>
      <c r="BA113" t="e">
        <f>AND(#REF!,"AAAAAH/r/zQ=")</f>
        <v>#REF!</v>
      </c>
      <c r="BB113" t="e">
        <f>AND(#REF!,"AAAAAH/r/zU=")</f>
        <v>#REF!</v>
      </c>
      <c r="BC113" t="e">
        <f>AND(#REF!,"AAAAAH/r/zY=")</f>
        <v>#REF!</v>
      </c>
      <c r="BD113" t="e">
        <f>AND(#REF!,"AAAAAH/r/zc=")</f>
        <v>#REF!</v>
      </c>
      <c r="BE113" t="e">
        <f>AND(#REF!,"AAAAAH/r/zg=")</f>
        <v>#REF!</v>
      </c>
      <c r="BF113" t="e">
        <f>AND(#REF!,"AAAAAH/r/zk=")</f>
        <v>#REF!</v>
      </c>
      <c r="BG113" t="e">
        <f>AND(#REF!,"AAAAAH/r/zo=")</f>
        <v>#REF!</v>
      </c>
      <c r="BH113" t="e">
        <f>AND(#REF!,"AAAAAH/r/zs=")</f>
        <v>#REF!</v>
      </c>
      <c r="BI113" t="e">
        <f>AND(#REF!,"AAAAAH/r/zw=")</f>
        <v>#REF!</v>
      </c>
      <c r="BJ113" t="e">
        <f>AND(#REF!,"AAAAAH/r/z0=")</f>
        <v>#REF!</v>
      </c>
      <c r="BK113" t="e">
        <f>AND(#REF!,"AAAAAH/r/z4=")</f>
        <v>#REF!</v>
      </c>
      <c r="BL113" t="e">
        <f>AND(#REF!,"AAAAAH/r/z8=")</f>
        <v>#REF!</v>
      </c>
      <c r="BM113" t="e">
        <f>AND(#REF!,"AAAAAH/r/0A=")</f>
        <v>#REF!</v>
      </c>
      <c r="BN113" t="e">
        <f>IF(#REF!,"AAAAAH/r/0E=",0)</f>
        <v>#REF!</v>
      </c>
      <c r="BO113" t="e">
        <f>AND(#REF!,"AAAAAH/r/0I=")</f>
        <v>#REF!</v>
      </c>
      <c r="BP113" t="e">
        <f>AND(#REF!,"AAAAAH/r/0M=")</f>
        <v>#REF!</v>
      </c>
      <c r="BQ113" t="e">
        <f>AND(#REF!,"AAAAAH/r/0Q=")</f>
        <v>#REF!</v>
      </c>
      <c r="BR113" t="e">
        <f>AND(#REF!,"AAAAAH/r/0U=")</f>
        <v>#REF!</v>
      </c>
      <c r="BS113" t="e">
        <f>AND(#REF!,"AAAAAH/r/0Y=")</f>
        <v>#REF!</v>
      </c>
      <c r="BT113" t="e">
        <f>AND(#REF!,"AAAAAH/r/0c=")</f>
        <v>#REF!</v>
      </c>
      <c r="BU113" t="e">
        <f>AND(#REF!,"AAAAAH/r/0g=")</f>
        <v>#REF!</v>
      </c>
      <c r="BV113" t="e">
        <f>AND(#REF!,"AAAAAH/r/0k=")</f>
        <v>#REF!</v>
      </c>
      <c r="BW113" t="e">
        <f>AND(#REF!,"AAAAAH/r/0o=")</f>
        <v>#REF!</v>
      </c>
      <c r="BX113" t="e">
        <f>AND(#REF!,"AAAAAH/r/0s=")</f>
        <v>#REF!</v>
      </c>
      <c r="BY113" t="e">
        <f>AND(#REF!,"AAAAAH/r/0w=")</f>
        <v>#REF!</v>
      </c>
      <c r="BZ113" t="e">
        <f>AND(#REF!,"AAAAAH/r/00=")</f>
        <v>#REF!</v>
      </c>
      <c r="CA113" t="e">
        <f>AND(#REF!,"AAAAAH/r/04=")</f>
        <v>#REF!</v>
      </c>
      <c r="CB113" t="e">
        <f>AND(#REF!,"AAAAAH/r/08=")</f>
        <v>#REF!</v>
      </c>
      <c r="CC113" t="e">
        <f>AND(#REF!,"AAAAAH/r/1A=")</f>
        <v>#REF!</v>
      </c>
      <c r="CD113" t="e">
        <f>AND(#REF!,"AAAAAH/r/1E=")</f>
        <v>#REF!</v>
      </c>
      <c r="CE113" t="e">
        <f>AND(#REF!,"AAAAAH/r/1I=")</f>
        <v>#REF!</v>
      </c>
      <c r="CF113" t="e">
        <f>AND(#REF!,"AAAAAH/r/1M=")</f>
        <v>#REF!</v>
      </c>
      <c r="CG113" t="e">
        <f>AND(#REF!,"AAAAAH/r/1Q=")</f>
        <v>#REF!</v>
      </c>
      <c r="CH113" t="e">
        <f>AND(#REF!,"AAAAAH/r/1U=")</f>
        <v>#REF!</v>
      </c>
      <c r="CI113" t="e">
        <f>AND(#REF!,"AAAAAH/r/1Y=")</f>
        <v>#REF!</v>
      </c>
      <c r="CJ113" t="e">
        <f>AND(#REF!,"AAAAAH/r/1c=")</f>
        <v>#REF!</v>
      </c>
      <c r="CK113" t="e">
        <f>AND(#REF!,"AAAAAH/r/1g=")</f>
        <v>#REF!</v>
      </c>
      <c r="CL113" t="e">
        <f>AND(#REF!,"AAAAAH/r/1k=")</f>
        <v>#REF!</v>
      </c>
      <c r="CM113" t="e">
        <f>AND(#REF!,"AAAAAH/r/1o=")</f>
        <v>#REF!</v>
      </c>
      <c r="CN113" t="e">
        <f>AND(#REF!,"AAAAAH/r/1s=")</f>
        <v>#REF!</v>
      </c>
      <c r="CO113" t="e">
        <f>IF(#REF!,"AAAAAH/r/1w=",0)</f>
        <v>#REF!</v>
      </c>
      <c r="CP113" t="e">
        <f>AND(#REF!,"AAAAAH/r/10=")</f>
        <v>#REF!</v>
      </c>
      <c r="CQ113" t="e">
        <f>AND(#REF!,"AAAAAH/r/14=")</f>
        <v>#REF!</v>
      </c>
      <c r="CR113" t="e">
        <f>AND(#REF!,"AAAAAH/r/18=")</f>
        <v>#REF!</v>
      </c>
      <c r="CS113" t="e">
        <f>AND(#REF!,"AAAAAH/r/2A=")</f>
        <v>#REF!</v>
      </c>
      <c r="CT113" t="e">
        <f>AND(#REF!,"AAAAAH/r/2E=")</f>
        <v>#REF!</v>
      </c>
      <c r="CU113" t="e">
        <f>AND(#REF!,"AAAAAH/r/2I=")</f>
        <v>#REF!</v>
      </c>
      <c r="CV113" t="e">
        <f>AND(#REF!,"AAAAAH/r/2M=")</f>
        <v>#REF!</v>
      </c>
      <c r="CW113" t="e">
        <f>AND(#REF!,"AAAAAH/r/2Q=")</f>
        <v>#REF!</v>
      </c>
      <c r="CX113" t="e">
        <f>AND(#REF!,"AAAAAH/r/2U=")</f>
        <v>#REF!</v>
      </c>
      <c r="CY113" t="e">
        <f>AND(#REF!,"AAAAAH/r/2Y=")</f>
        <v>#REF!</v>
      </c>
      <c r="CZ113" t="e">
        <f>AND(#REF!,"AAAAAH/r/2c=")</f>
        <v>#REF!</v>
      </c>
      <c r="DA113" t="e">
        <f>AND(#REF!,"AAAAAH/r/2g=")</f>
        <v>#REF!</v>
      </c>
      <c r="DB113" t="e">
        <f>AND(#REF!,"AAAAAH/r/2k=")</f>
        <v>#REF!</v>
      </c>
      <c r="DC113" t="e">
        <f>AND(#REF!,"AAAAAH/r/2o=")</f>
        <v>#REF!</v>
      </c>
      <c r="DD113" t="e">
        <f>AND(#REF!,"AAAAAH/r/2s=")</f>
        <v>#REF!</v>
      </c>
      <c r="DE113" t="e">
        <f>AND(#REF!,"AAAAAH/r/2w=")</f>
        <v>#REF!</v>
      </c>
      <c r="DF113" t="e">
        <f>AND(#REF!,"AAAAAH/r/20=")</f>
        <v>#REF!</v>
      </c>
      <c r="DG113" t="e">
        <f>AND(#REF!,"AAAAAH/r/24=")</f>
        <v>#REF!</v>
      </c>
      <c r="DH113" t="e">
        <f>AND(#REF!,"AAAAAH/r/28=")</f>
        <v>#REF!</v>
      </c>
      <c r="DI113" t="e">
        <f>AND(#REF!,"AAAAAH/r/3A=")</f>
        <v>#REF!</v>
      </c>
      <c r="DJ113" t="e">
        <f>AND(#REF!,"AAAAAH/r/3E=")</f>
        <v>#REF!</v>
      </c>
      <c r="DK113" t="e">
        <f>AND(#REF!,"AAAAAH/r/3I=")</f>
        <v>#REF!</v>
      </c>
      <c r="DL113" t="e">
        <f>AND(#REF!,"AAAAAH/r/3M=")</f>
        <v>#REF!</v>
      </c>
      <c r="DM113" t="e">
        <f>AND(#REF!,"AAAAAH/r/3Q=")</f>
        <v>#REF!</v>
      </c>
      <c r="DN113" t="e">
        <f>AND(#REF!,"AAAAAH/r/3U=")</f>
        <v>#REF!</v>
      </c>
      <c r="DO113" t="e">
        <f>AND(#REF!,"AAAAAH/r/3Y=")</f>
        <v>#REF!</v>
      </c>
      <c r="DP113" t="e">
        <f>IF(#REF!,"AAAAAH/r/3c=",0)</f>
        <v>#REF!</v>
      </c>
      <c r="DQ113" t="e">
        <f>AND(#REF!,"AAAAAH/r/3g=")</f>
        <v>#REF!</v>
      </c>
      <c r="DR113" t="e">
        <f>AND(#REF!,"AAAAAH/r/3k=")</f>
        <v>#REF!</v>
      </c>
      <c r="DS113" t="e">
        <f>AND(#REF!,"AAAAAH/r/3o=")</f>
        <v>#REF!</v>
      </c>
      <c r="DT113" t="e">
        <f>AND(#REF!,"AAAAAH/r/3s=")</f>
        <v>#REF!</v>
      </c>
      <c r="DU113" t="e">
        <f>AND(#REF!,"AAAAAH/r/3w=")</f>
        <v>#REF!</v>
      </c>
      <c r="DV113" t="e">
        <f>AND(#REF!,"AAAAAH/r/30=")</f>
        <v>#REF!</v>
      </c>
      <c r="DW113" t="e">
        <f>AND(#REF!,"AAAAAH/r/34=")</f>
        <v>#REF!</v>
      </c>
      <c r="DX113" t="e">
        <f>AND(#REF!,"AAAAAH/r/38=")</f>
        <v>#REF!</v>
      </c>
      <c r="DY113" t="e">
        <f>AND(#REF!,"AAAAAH/r/4A=")</f>
        <v>#REF!</v>
      </c>
      <c r="DZ113" t="e">
        <f>AND(#REF!,"AAAAAH/r/4E=")</f>
        <v>#REF!</v>
      </c>
      <c r="EA113" t="e">
        <f>AND(#REF!,"AAAAAH/r/4I=")</f>
        <v>#REF!</v>
      </c>
      <c r="EB113" t="e">
        <f>AND(#REF!,"AAAAAH/r/4M=")</f>
        <v>#REF!</v>
      </c>
      <c r="EC113" t="e">
        <f>AND(#REF!,"AAAAAH/r/4Q=")</f>
        <v>#REF!</v>
      </c>
      <c r="ED113" t="e">
        <f>AND(#REF!,"AAAAAH/r/4U=")</f>
        <v>#REF!</v>
      </c>
      <c r="EE113" t="e">
        <f>AND(#REF!,"AAAAAH/r/4Y=")</f>
        <v>#REF!</v>
      </c>
      <c r="EF113" t="e">
        <f>AND(#REF!,"AAAAAH/r/4c=")</f>
        <v>#REF!</v>
      </c>
      <c r="EG113" t="e">
        <f>AND(#REF!,"AAAAAH/r/4g=")</f>
        <v>#REF!</v>
      </c>
      <c r="EH113" t="e">
        <f>AND(#REF!,"AAAAAH/r/4k=")</f>
        <v>#REF!</v>
      </c>
      <c r="EI113" t="e">
        <f>AND(#REF!,"AAAAAH/r/4o=")</f>
        <v>#REF!</v>
      </c>
      <c r="EJ113" t="e">
        <f>AND(#REF!,"AAAAAH/r/4s=")</f>
        <v>#REF!</v>
      </c>
      <c r="EK113" t="e">
        <f>AND(#REF!,"AAAAAH/r/4w=")</f>
        <v>#REF!</v>
      </c>
      <c r="EL113" t="e">
        <f>AND(#REF!,"AAAAAH/r/40=")</f>
        <v>#REF!</v>
      </c>
      <c r="EM113" t="e">
        <f>AND(#REF!,"AAAAAH/r/44=")</f>
        <v>#REF!</v>
      </c>
      <c r="EN113" t="e">
        <f>AND(#REF!,"AAAAAH/r/48=")</f>
        <v>#REF!</v>
      </c>
      <c r="EO113" t="e">
        <f>AND(#REF!,"AAAAAH/r/5A=")</f>
        <v>#REF!</v>
      </c>
      <c r="EP113" t="e">
        <f>AND(#REF!,"AAAAAH/r/5E=")</f>
        <v>#REF!</v>
      </c>
      <c r="EQ113" t="e">
        <f>IF(#REF!,"AAAAAH/r/5I=",0)</f>
        <v>#REF!</v>
      </c>
      <c r="ER113" t="e">
        <f>AND(#REF!,"AAAAAH/r/5M=")</f>
        <v>#REF!</v>
      </c>
      <c r="ES113" t="e">
        <f>AND(#REF!,"AAAAAH/r/5Q=")</f>
        <v>#REF!</v>
      </c>
      <c r="ET113" t="e">
        <f>AND(#REF!,"AAAAAH/r/5U=")</f>
        <v>#REF!</v>
      </c>
      <c r="EU113" t="e">
        <f>AND(#REF!,"AAAAAH/r/5Y=")</f>
        <v>#REF!</v>
      </c>
      <c r="EV113" t="e">
        <f>AND(#REF!,"AAAAAH/r/5c=")</f>
        <v>#REF!</v>
      </c>
      <c r="EW113" t="e">
        <f>AND(#REF!,"AAAAAH/r/5g=")</f>
        <v>#REF!</v>
      </c>
      <c r="EX113" t="e">
        <f>AND(#REF!,"AAAAAH/r/5k=")</f>
        <v>#REF!</v>
      </c>
      <c r="EY113" t="e">
        <f>AND(#REF!,"AAAAAH/r/5o=")</f>
        <v>#REF!</v>
      </c>
      <c r="EZ113" t="e">
        <f>AND(#REF!,"AAAAAH/r/5s=")</f>
        <v>#REF!</v>
      </c>
      <c r="FA113" t="e">
        <f>AND(#REF!,"AAAAAH/r/5w=")</f>
        <v>#REF!</v>
      </c>
      <c r="FB113" t="e">
        <f>AND(#REF!,"AAAAAH/r/50=")</f>
        <v>#REF!</v>
      </c>
      <c r="FC113" t="e">
        <f>AND(#REF!,"AAAAAH/r/54=")</f>
        <v>#REF!</v>
      </c>
      <c r="FD113" t="e">
        <f>AND(#REF!,"AAAAAH/r/58=")</f>
        <v>#REF!</v>
      </c>
      <c r="FE113" t="e">
        <f>AND(#REF!,"AAAAAH/r/6A=")</f>
        <v>#REF!</v>
      </c>
      <c r="FF113" t="e">
        <f>AND(#REF!,"AAAAAH/r/6E=")</f>
        <v>#REF!</v>
      </c>
      <c r="FG113" t="e">
        <f>AND(#REF!,"AAAAAH/r/6I=")</f>
        <v>#REF!</v>
      </c>
      <c r="FH113" t="e">
        <f>AND(#REF!,"AAAAAH/r/6M=")</f>
        <v>#REF!</v>
      </c>
      <c r="FI113" t="e">
        <f>AND(#REF!,"AAAAAH/r/6Q=")</f>
        <v>#REF!</v>
      </c>
      <c r="FJ113" t="e">
        <f>AND(#REF!,"AAAAAH/r/6U=")</f>
        <v>#REF!</v>
      </c>
      <c r="FK113" t="e">
        <f>AND(#REF!,"AAAAAH/r/6Y=")</f>
        <v>#REF!</v>
      </c>
      <c r="FL113" t="e">
        <f>AND(#REF!,"AAAAAH/r/6c=")</f>
        <v>#REF!</v>
      </c>
      <c r="FM113" t="e">
        <f>AND(#REF!,"AAAAAH/r/6g=")</f>
        <v>#REF!</v>
      </c>
      <c r="FN113" t="e">
        <f>AND(#REF!,"AAAAAH/r/6k=")</f>
        <v>#REF!</v>
      </c>
      <c r="FO113" t="e">
        <f>AND(#REF!,"AAAAAH/r/6o=")</f>
        <v>#REF!</v>
      </c>
      <c r="FP113" t="e">
        <f>AND(#REF!,"AAAAAH/r/6s=")</f>
        <v>#REF!</v>
      </c>
      <c r="FQ113" t="e">
        <f>AND(#REF!,"AAAAAH/r/6w=")</f>
        <v>#REF!</v>
      </c>
      <c r="FR113" t="e">
        <f>IF(#REF!,"AAAAAH/r/60=",0)</f>
        <v>#REF!</v>
      </c>
      <c r="FS113" t="e">
        <f>AND(#REF!,"AAAAAH/r/64=")</f>
        <v>#REF!</v>
      </c>
      <c r="FT113" t="e">
        <f>AND(#REF!,"AAAAAH/r/68=")</f>
        <v>#REF!</v>
      </c>
      <c r="FU113" t="e">
        <f>AND(#REF!,"AAAAAH/r/7A=")</f>
        <v>#REF!</v>
      </c>
      <c r="FV113" t="e">
        <f>AND(#REF!,"AAAAAH/r/7E=")</f>
        <v>#REF!</v>
      </c>
      <c r="FW113" t="e">
        <f>AND(#REF!,"AAAAAH/r/7I=")</f>
        <v>#REF!</v>
      </c>
      <c r="FX113" t="e">
        <f>AND(#REF!,"AAAAAH/r/7M=")</f>
        <v>#REF!</v>
      </c>
      <c r="FY113" t="e">
        <f>AND(#REF!,"AAAAAH/r/7Q=")</f>
        <v>#REF!</v>
      </c>
      <c r="FZ113" t="e">
        <f>AND(#REF!,"AAAAAH/r/7U=")</f>
        <v>#REF!</v>
      </c>
      <c r="GA113" t="e">
        <f>AND(#REF!,"AAAAAH/r/7Y=")</f>
        <v>#REF!</v>
      </c>
      <c r="GB113" t="e">
        <f>AND(#REF!,"AAAAAH/r/7c=")</f>
        <v>#REF!</v>
      </c>
      <c r="GC113" t="e">
        <f>AND(#REF!,"AAAAAH/r/7g=")</f>
        <v>#REF!</v>
      </c>
      <c r="GD113" t="e">
        <f>AND(#REF!,"AAAAAH/r/7k=")</f>
        <v>#REF!</v>
      </c>
      <c r="GE113" t="e">
        <f>AND(#REF!,"AAAAAH/r/7o=")</f>
        <v>#REF!</v>
      </c>
      <c r="GF113" t="e">
        <f>AND(#REF!,"AAAAAH/r/7s=")</f>
        <v>#REF!</v>
      </c>
      <c r="GG113" t="e">
        <f>AND(#REF!,"AAAAAH/r/7w=")</f>
        <v>#REF!</v>
      </c>
      <c r="GH113" t="e">
        <f>AND(#REF!,"AAAAAH/r/70=")</f>
        <v>#REF!</v>
      </c>
      <c r="GI113" t="e">
        <f>AND(#REF!,"AAAAAH/r/74=")</f>
        <v>#REF!</v>
      </c>
      <c r="GJ113" t="e">
        <f>AND(#REF!,"AAAAAH/r/78=")</f>
        <v>#REF!</v>
      </c>
      <c r="GK113" t="e">
        <f>AND(#REF!,"AAAAAH/r/8A=")</f>
        <v>#REF!</v>
      </c>
      <c r="GL113" t="e">
        <f>AND(#REF!,"AAAAAH/r/8E=")</f>
        <v>#REF!</v>
      </c>
      <c r="GM113" t="e">
        <f>AND(#REF!,"AAAAAH/r/8I=")</f>
        <v>#REF!</v>
      </c>
      <c r="GN113" t="e">
        <f>AND(#REF!,"AAAAAH/r/8M=")</f>
        <v>#REF!</v>
      </c>
      <c r="GO113" t="e">
        <f>AND(#REF!,"AAAAAH/r/8Q=")</f>
        <v>#REF!</v>
      </c>
      <c r="GP113" t="e">
        <f>AND(#REF!,"AAAAAH/r/8U=")</f>
        <v>#REF!</v>
      </c>
      <c r="GQ113" t="e">
        <f>AND(#REF!,"AAAAAH/r/8Y=")</f>
        <v>#REF!</v>
      </c>
      <c r="GR113" t="e">
        <f>AND(#REF!,"AAAAAH/r/8c=")</f>
        <v>#REF!</v>
      </c>
      <c r="GS113" t="e">
        <f>IF(#REF!,"AAAAAH/r/8g=",0)</f>
        <v>#REF!</v>
      </c>
      <c r="GT113" t="e">
        <f>AND(#REF!,"AAAAAH/r/8k=")</f>
        <v>#REF!</v>
      </c>
      <c r="GU113" t="e">
        <f>AND(#REF!,"AAAAAH/r/8o=")</f>
        <v>#REF!</v>
      </c>
      <c r="GV113" t="e">
        <f>AND(#REF!,"AAAAAH/r/8s=")</f>
        <v>#REF!</v>
      </c>
      <c r="GW113" t="e">
        <f>AND(#REF!,"AAAAAH/r/8w=")</f>
        <v>#REF!</v>
      </c>
      <c r="GX113" t="e">
        <f>AND(#REF!,"AAAAAH/r/80=")</f>
        <v>#REF!</v>
      </c>
      <c r="GY113" t="e">
        <f>AND(#REF!,"AAAAAH/r/84=")</f>
        <v>#REF!</v>
      </c>
      <c r="GZ113" t="e">
        <f>AND(#REF!,"AAAAAH/r/88=")</f>
        <v>#REF!</v>
      </c>
      <c r="HA113" t="e">
        <f>AND(#REF!,"AAAAAH/r/9A=")</f>
        <v>#REF!</v>
      </c>
      <c r="HB113" t="e">
        <f>AND(#REF!,"AAAAAH/r/9E=")</f>
        <v>#REF!</v>
      </c>
      <c r="HC113" t="e">
        <f>AND(#REF!,"AAAAAH/r/9I=")</f>
        <v>#REF!</v>
      </c>
      <c r="HD113" t="e">
        <f>AND(#REF!,"AAAAAH/r/9M=")</f>
        <v>#REF!</v>
      </c>
      <c r="HE113" t="e">
        <f>AND(#REF!,"AAAAAH/r/9Q=")</f>
        <v>#REF!</v>
      </c>
      <c r="HF113" t="e">
        <f>AND(#REF!,"AAAAAH/r/9U=")</f>
        <v>#REF!</v>
      </c>
      <c r="HG113" t="e">
        <f>AND(#REF!,"AAAAAH/r/9Y=")</f>
        <v>#REF!</v>
      </c>
      <c r="HH113" t="e">
        <f>AND(#REF!,"AAAAAH/r/9c=")</f>
        <v>#REF!</v>
      </c>
      <c r="HI113" t="e">
        <f>AND(#REF!,"AAAAAH/r/9g=")</f>
        <v>#REF!</v>
      </c>
      <c r="HJ113" t="e">
        <f>AND(#REF!,"AAAAAH/r/9k=")</f>
        <v>#REF!</v>
      </c>
      <c r="HK113" t="e">
        <f>AND(#REF!,"AAAAAH/r/9o=")</f>
        <v>#REF!</v>
      </c>
      <c r="HL113" t="e">
        <f>AND(#REF!,"AAAAAH/r/9s=")</f>
        <v>#REF!</v>
      </c>
      <c r="HM113" t="e">
        <f>AND(#REF!,"AAAAAH/r/9w=")</f>
        <v>#REF!</v>
      </c>
      <c r="HN113" t="e">
        <f>AND(#REF!,"AAAAAH/r/90=")</f>
        <v>#REF!</v>
      </c>
      <c r="HO113" t="e">
        <f>AND(#REF!,"AAAAAH/r/94=")</f>
        <v>#REF!</v>
      </c>
      <c r="HP113" t="e">
        <f>AND(#REF!,"AAAAAH/r/98=")</f>
        <v>#REF!</v>
      </c>
      <c r="HQ113" t="e">
        <f>AND(#REF!,"AAAAAH/r/+A=")</f>
        <v>#REF!</v>
      </c>
      <c r="HR113" t="e">
        <f>AND(#REF!,"AAAAAH/r/+E=")</f>
        <v>#REF!</v>
      </c>
      <c r="HS113" t="e">
        <f>AND(#REF!,"AAAAAH/r/+I=")</f>
        <v>#REF!</v>
      </c>
      <c r="HT113" t="e">
        <f>IF(#REF!,"AAAAAH/r/+M=",0)</f>
        <v>#REF!</v>
      </c>
      <c r="HU113" t="e">
        <f>AND(#REF!,"AAAAAH/r/+Q=")</f>
        <v>#REF!</v>
      </c>
      <c r="HV113" t="e">
        <f>AND(#REF!,"AAAAAH/r/+U=")</f>
        <v>#REF!</v>
      </c>
      <c r="HW113" t="e">
        <f>AND(#REF!,"AAAAAH/r/+Y=")</f>
        <v>#REF!</v>
      </c>
      <c r="HX113" t="e">
        <f>AND(#REF!,"AAAAAH/r/+c=")</f>
        <v>#REF!</v>
      </c>
      <c r="HY113" t="e">
        <f>AND(#REF!,"AAAAAH/r/+g=")</f>
        <v>#REF!</v>
      </c>
      <c r="HZ113" t="e">
        <f>AND(#REF!,"AAAAAH/r/+k=")</f>
        <v>#REF!</v>
      </c>
      <c r="IA113" t="e">
        <f>AND(#REF!,"AAAAAH/r/+o=")</f>
        <v>#REF!</v>
      </c>
      <c r="IB113" t="e">
        <f>AND(#REF!,"AAAAAH/r/+s=")</f>
        <v>#REF!</v>
      </c>
      <c r="IC113" t="e">
        <f>AND(#REF!,"AAAAAH/r/+w=")</f>
        <v>#REF!</v>
      </c>
      <c r="ID113" t="e">
        <f>AND(#REF!,"AAAAAH/r/+0=")</f>
        <v>#REF!</v>
      </c>
      <c r="IE113" t="e">
        <f>AND(#REF!,"AAAAAH/r/+4=")</f>
        <v>#REF!</v>
      </c>
      <c r="IF113" t="e">
        <f>AND(#REF!,"AAAAAH/r/+8=")</f>
        <v>#REF!</v>
      </c>
      <c r="IG113" t="e">
        <f>AND(#REF!,"AAAAAH/r//A=")</f>
        <v>#REF!</v>
      </c>
      <c r="IH113" t="e">
        <f>AND(#REF!,"AAAAAH/r//E=")</f>
        <v>#REF!</v>
      </c>
      <c r="II113" t="e">
        <f>AND(#REF!,"AAAAAH/r//I=")</f>
        <v>#REF!</v>
      </c>
      <c r="IJ113" t="e">
        <f>AND(#REF!,"AAAAAH/r//M=")</f>
        <v>#REF!</v>
      </c>
      <c r="IK113" t="e">
        <f>AND(#REF!,"AAAAAH/r//Q=")</f>
        <v>#REF!</v>
      </c>
      <c r="IL113" t="e">
        <f>AND(#REF!,"AAAAAH/r//U=")</f>
        <v>#REF!</v>
      </c>
      <c r="IM113" t="e">
        <f>AND(#REF!,"AAAAAH/r//Y=")</f>
        <v>#REF!</v>
      </c>
      <c r="IN113" t="e">
        <f>AND(#REF!,"AAAAAH/r//c=")</f>
        <v>#REF!</v>
      </c>
      <c r="IO113" t="e">
        <f>AND(#REF!,"AAAAAH/r//g=")</f>
        <v>#REF!</v>
      </c>
      <c r="IP113" t="e">
        <f>AND(#REF!,"AAAAAH/r//k=")</f>
        <v>#REF!</v>
      </c>
      <c r="IQ113" t="e">
        <f>AND(#REF!,"AAAAAH/r//o=")</f>
        <v>#REF!</v>
      </c>
      <c r="IR113" t="e">
        <f>AND(#REF!,"AAAAAH/r//s=")</f>
        <v>#REF!</v>
      </c>
      <c r="IS113" t="e">
        <f>AND(#REF!,"AAAAAH/r//w=")</f>
        <v>#REF!</v>
      </c>
      <c r="IT113" t="e">
        <f>AND(#REF!,"AAAAAH/r//0=")</f>
        <v>#REF!</v>
      </c>
      <c r="IU113" t="e">
        <f>IF(#REF!,"AAAAAH/r//4=",0)</f>
        <v>#REF!</v>
      </c>
      <c r="IV113" t="e">
        <f>AND(#REF!,"AAAAAH/r//8=")</f>
        <v>#REF!</v>
      </c>
    </row>
    <row r="114" spans="1:256" x14ac:dyDescent="0.2">
      <c r="A114" t="e">
        <f>AND(#REF!,"AAAAADfH3QA=")</f>
        <v>#REF!</v>
      </c>
      <c r="B114" t="e">
        <f>AND(#REF!,"AAAAADfH3QE=")</f>
        <v>#REF!</v>
      </c>
      <c r="C114" t="e">
        <f>AND(#REF!,"AAAAADfH3QI=")</f>
        <v>#REF!</v>
      </c>
      <c r="D114" t="e">
        <f>AND(#REF!,"AAAAADfH3QM=")</f>
        <v>#REF!</v>
      </c>
      <c r="E114" t="e">
        <f>AND(#REF!,"AAAAADfH3QQ=")</f>
        <v>#REF!</v>
      </c>
      <c r="F114" t="e">
        <f>AND(#REF!,"AAAAADfH3QU=")</f>
        <v>#REF!</v>
      </c>
      <c r="G114" t="e">
        <f>AND(#REF!,"AAAAADfH3QY=")</f>
        <v>#REF!</v>
      </c>
      <c r="H114" t="e">
        <f>AND(#REF!,"AAAAADfH3Qc=")</f>
        <v>#REF!</v>
      </c>
      <c r="I114" t="e">
        <f>AND(#REF!,"AAAAADfH3Qg=")</f>
        <v>#REF!</v>
      </c>
      <c r="J114" t="e">
        <f>AND(#REF!,"AAAAADfH3Qk=")</f>
        <v>#REF!</v>
      </c>
      <c r="K114" t="e">
        <f>AND(#REF!,"AAAAADfH3Qo=")</f>
        <v>#REF!</v>
      </c>
      <c r="L114" t="e">
        <f>AND(#REF!,"AAAAADfH3Qs=")</f>
        <v>#REF!</v>
      </c>
      <c r="M114" t="e">
        <f>AND(#REF!,"AAAAADfH3Qw=")</f>
        <v>#REF!</v>
      </c>
      <c r="N114" t="e">
        <f>AND(#REF!,"AAAAADfH3Q0=")</f>
        <v>#REF!</v>
      </c>
      <c r="O114" t="e">
        <f>AND(#REF!,"AAAAADfH3Q4=")</f>
        <v>#REF!</v>
      </c>
      <c r="P114" t="e">
        <f>AND(#REF!,"AAAAADfH3Q8=")</f>
        <v>#REF!</v>
      </c>
      <c r="Q114" t="e">
        <f>AND(#REF!,"AAAAADfH3RA=")</f>
        <v>#REF!</v>
      </c>
      <c r="R114" t="e">
        <f>AND(#REF!,"AAAAADfH3RE=")</f>
        <v>#REF!</v>
      </c>
      <c r="S114" t="e">
        <f>AND(#REF!,"AAAAADfH3RI=")</f>
        <v>#REF!</v>
      </c>
      <c r="T114" t="e">
        <f>AND(#REF!,"AAAAADfH3RM=")</f>
        <v>#REF!</v>
      </c>
      <c r="U114" t="e">
        <f>AND(#REF!,"AAAAADfH3RQ=")</f>
        <v>#REF!</v>
      </c>
      <c r="V114" t="e">
        <f>AND(#REF!,"AAAAADfH3RU=")</f>
        <v>#REF!</v>
      </c>
      <c r="W114" t="e">
        <f>AND(#REF!,"AAAAADfH3RY=")</f>
        <v>#REF!</v>
      </c>
      <c r="X114" t="e">
        <f>AND(#REF!,"AAAAADfH3Rc=")</f>
        <v>#REF!</v>
      </c>
      <c r="Y114" t="e">
        <f>AND(#REF!,"AAAAADfH3Rg=")</f>
        <v>#REF!</v>
      </c>
      <c r="Z114" t="e">
        <f>IF(#REF!,"AAAAADfH3Rk=",0)</f>
        <v>#REF!</v>
      </c>
      <c r="AA114" t="e">
        <f>AND(#REF!,"AAAAADfH3Ro=")</f>
        <v>#REF!</v>
      </c>
      <c r="AB114" t="e">
        <f>AND(#REF!,"AAAAADfH3Rs=")</f>
        <v>#REF!</v>
      </c>
      <c r="AC114" t="e">
        <f>AND(#REF!,"AAAAADfH3Rw=")</f>
        <v>#REF!</v>
      </c>
      <c r="AD114" t="e">
        <f>AND(#REF!,"AAAAADfH3R0=")</f>
        <v>#REF!</v>
      </c>
      <c r="AE114" t="e">
        <f>AND(#REF!,"AAAAADfH3R4=")</f>
        <v>#REF!</v>
      </c>
      <c r="AF114" t="e">
        <f>AND(#REF!,"AAAAADfH3R8=")</f>
        <v>#REF!</v>
      </c>
      <c r="AG114" t="e">
        <f>AND(#REF!,"AAAAADfH3SA=")</f>
        <v>#REF!</v>
      </c>
      <c r="AH114" t="e">
        <f>AND(#REF!,"AAAAADfH3SE=")</f>
        <v>#REF!</v>
      </c>
      <c r="AI114" t="e">
        <f>AND(#REF!,"AAAAADfH3SI=")</f>
        <v>#REF!</v>
      </c>
      <c r="AJ114" t="e">
        <f>AND(#REF!,"AAAAADfH3SM=")</f>
        <v>#REF!</v>
      </c>
      <c r="AK114" t="e">
        <f>AND(#REF!,"AAAAADfH3SQ=")</f>
        <v>#REF!</v>
      </c>
      <c r="AL114" t="e">
        <f>AND(#REF!,"AAAAADfH3SU=")</f>
        <v>#REF!</v>
      </c>
      <c r="AM114" t="e">
        <f>AND(#REF!,"AAAAADfH3SY=")</f>
        <v>#REF!</v>
      </c>
      <c r="AN114" t="e">
        <f>AND(#REF!,"AAAAADfH3Sc=")</f>
        <v>#REF!</v>
      </c>
      <c r="AO114" t="e">
        <f>AND(#REF!,"AAAAADfH3Sg=")</f>
        <v>#REF!</v>
      </c>
      <c r="AP114" t="e">
        <f>AND(#REF!,"AAAAADfH3Sk=")</f>
        <v>#REF!</v>
      </c>
      <c r="AQ114" t="e">
        <f>AND(#REF!,"AAAAADfH3So=")</f>
        <v>#REF!</v>
      </c>
      <c r="AR114" t="e">
        <f>AND(#REF!,"AAAAADfH3Ss=")</f>
        <v>#REF!</v>
      </c>
      <c r="AS114" t="e">
        <f>AND(#REF!,"AAAAADfH3Sw=")</f>
        <v>#REF!</v>
      </c>
      <c r="AT114" t="e">
        <f>AND(#REF!,"AAAAADfH3S0=")</f>
        <v>#REF!</v>
      </c>
      <c r="AU114" t="e">
        <f>AND(#REF!,"AAAAADfH3S4=")</f>
        <v>#REF!</v>
      </c>
      <c r="AV114" t="e">
        <f>AND(#REF!,"AAAAADfH3S8=")</f>
        <v>#REF!</v>
      </c>
      <c r="AW114" t="e">
        <f>AND(#REF!,"AAAAADfH3TA=")</f>
        <v>#REF!</v>
      </c>
      <c r="AX114" t="e">
        <f>AND(#REF!,"AAAAADfH3TE=")</f>
        <v>#REF!</v>
      </c>
      <c r="AY114" t="e">
        <f>AND(#REF!,"AAAAADfH3TI=")</f>
        <v>#REF!</v>
      </c>
      <c r="AZ114" t="e">
        <f>AND(#REF!,"AAAAADfH3TM=")</f>
        <v>#REF!</v>
      </c>
      <c r="BA114" t="e">
        <f>IF(#REF!,"AAAAADfH3TQ=",0)</f>
        <v>#REF!</v>
      </c>
      <c r="BB114" t="e">
        <f>AND(#REF!,"AAAAADfH3TU=")</f>
        <v>#REF!</v>
      </c>
      <c r="BC114" t="e">
        <f>AND(#REF!,"AAAAADfH3TY=")</f>
        <v>#REF!</v>
      </c>
      <c r="BD114" t="e">
        <f>AND(#REF!,"AAAAADfH3Tc=")</f>
        <v>#REF!</v>
      </c>
      <c r="BE114" t="e">
        <f>AND(#REF!,"AAAAADfH3Tg=")</f>
        <v>#REF!</v>
      </c>
      <c r="BF114" t="e">
        <f>AND(#REF!,"AAAAADfH3Tk=")</f>
        <v>#REF!</v>
      </c>
      <c r="BG114" t="e">
        <f>AND(#REF!,"AAAAADfH3To=")</f>
        <v>#REF!</v>
      </c>
      <c r="BH114" t="e">
        <f>AND(#REF!,"AAAAADfH3Ts=")</f>
        <v>#REF!</v>
      </c>
      <c r="BI114" t="e">
        <f>AND(#REF!,"AAAAADfH3Tw=")</f>
        <v>#REF!</v>
      </c>
      <c r="BJ114" t="e">
        <f>AND(#REF!,"AAAAADfH3T0=")</f>
        <v>#REF!</v>
      </c>
      <c r="BK114" t="e">
        <f>AND(#REF!,"AAAAADfH3T4=")</f>
        <v>#REF!</v>
      </c>
      <c r="BL114" t="e">
        <f>AND(#REF!,"AAAAADfH3T8=")</f>
        <v>#REF!</v>
      </c>
      <c r="BM114" t="e">
        <f>AND(#REF!,"AAAAADfH3UA=")</f>
        <v>#REF!</v>
      </c>
      <c r="BN114" t="e">
        <f>AND(#REF!,"AAAAADfH3UE=")</f>
        <v>#REF!</v>
      </c>
      <c r="BO114" t="e">
        <f>AND(#REF!,"AAAAADfH3UI=")</f>
        <v>#REF!</v>
      </c>
      <c r="BP114" t="e">
        <f>AND(#REF!,"AAAAADfH3UM=")</f>
        <v>#REF!</v>
      </c>
      <c r="BQ114" t="e">
        <f>AND(#REF!,"AAAAADfH3UQ=")</f>
        <v>#REF!</v>
      </c>
      <c r="BR114" t="e">
        <f>AND(#REF!,"AAAAADfH3UU=")</f>
        <v>#REF!</v>
      </c>
      <c r="BS114" t="e">
        <f>AND(#REF!,"AAAAADfH3UY=")</f>
        <v>#REF!</v>
      </c>
      <c r="BT114" t="e">
        <f>AND(#REF!,"AAAAADfH3Uc=")</f>
        <v>#REF!</v>
      </c>
      <c r="BU114" t="e">
        <f>AND(#REF!,"AAAAADfH3Ug=")</f>
        <v>#REF!</v>
      </c>
      <c r="BV114" t="e">
        <f>AND(#REF!,"AAAAADfH3Uk=")</f>
        <v>#REF!</v>
      </c>
      <c r="BW114" t="e">
        <f>AND(#REF!,"AAAAADfH3Uo=")</f>
        <v>#REF!</v>
      </c>
      <c r="BX114" t="e">
        <f>AND(#REF!,"AAAAADfH3Us=")</f>
        <v>#REF!</v>
      </c>
      <c r="BY114" t="e">
        <f>AND(#REF!,"AAAAADfH3Uw=")</f>
        <v>#REF!</v>
      </c>
      <c r="BZ114" t="e">
        <f>AND(#REF!,"AAAAADfH3U0=")</f>
        <v>#REF!</v>
      </c>
      <c r="CA114" t="e">
        <f>AND(#REF!,"AAAAADfH3U4=")</f>
        <v>#REF!</v>
      </c>
      <c r="CB114" t="e">
        <f>IF(#REF!,"AAAAADfH3U8=",0)</f>
        <v>#REF!</v>
      </c>
      <c r="CC114" t="e">
        <f>AND(#REF!,"AAAAADfH3VA=")</f>
        <v>#REF!</v>
      </c>
      <c r="CD114" t="e">
        <f>AND(#REF!,"AAAAADfH3VE=")</f>
        <v>#REF!</v>
      </c>
      <c r="CE114" t="e">
        <f>AND(#REF!,"AAAAADfH3VI=")</f>
        <v>#REF!</v>
      </c>
      <c r="CF114" t="e">
        <f>AND(#REF!,"AAAAADfH3VM=")</f>
        <v>#REF!</v>
      </c>
      <c r="CG114" t="e">
        <f>AND(#REF!,"AAAAADfH3VQ=")</f>
        <v>#REF!</v>
      </c>
      <c r="CH114" t="e">
        <f>AND(#REF!,"AAAAADfH3VU=")</f>
        <v>#REF!</v>
      </c>
      <c r="CI114" t="e">
        <f>AND(#REF!,"AAAAADfH3VY=")</f>
        <v>#REF!</v>
      </c>
      <c r="CJ114" t="e">
        <f>AND(#REF!,"AAAAADfH3Vc=")</f>
        <v>#REF!</v>
      </c>
      <c r="CK114" t="e">
        <f>AND(#REF!,"AAAAADfH3Vg=")</f>
        <v>#REF!</v>
      </c>
      <c r="CL114" t="e">
        <f>AND(#REF!,"AAAAADfH3Vk=")</f>
        <v>#REF!</v>
      </c>
      <c r="CM114" t="e">
        <f>AND(#REF!,"AAAAADfH3Vo=")</f>
        <v>#REF!</v>
      </c>
      <c r="CN114" t="e">
        <f>AND(#REF!,"AAAAADfH3Vs=")</f>
        <v>#REF!</v>
      </c>
      <c r="CO114" t="e">
        <f>AND(#REF!,"AAAAADfH3Vw=")</f>
        <v>#REF!</v>
      </c>
      <c r="CP114" t="e">
        <f>AND(#REF!,"AAAAADfH3V0=")</f>
        <v>#REF!</v>
      </c>
      <c r="CQ114" t="e">
        <f>AND(#REF!,"AAAAADfH3V4=")</f>
        <v>#REF!</v>
      </c>
      <c r="CR114" t="e">
        <f>AND(#REF!,"AAAAADfH3V8=")</f>
        <v>#REF!</v>
      </c>
      <c r="CS114" t="e">
        <f>AND(#REF!,"AAAAADfH3WA=")</f>
        <v>#REF!</v>
      </c>
      <c r="CT114" t="e">
        <f>AND(#REF!,"AAAAADfH3WE=")</f>
        <v>#REF!</v>
      </c>
      <c r="CU114" t="e">
        <f>AND(#REF!,"AAAAADfH3WI=")</f>
        <v>#REF!</v>
      </c>
      <c r="CV114" t="e">
        <f>AND(#REF!,"AAAAADfH3WM=")</f>
        <v>#REF!</v>
      </c>
      <c r="CW114" t="e">
        <f>AND(#REF!,"AAAAADfH3WQ=")</f>
        <v>#REF!</v>
      </c>
      <c r="CX114" t="e">
        <f>AND(#REF!,"AAAAADfH3WU=")</f>
        <v>#REF!</v>
      </c>
      <c r="CY114" t="e">
        <f>AND(#REF!,"AAAAADfH3WY=")</f>
        <v>#REF!</v>
      </c>
      <c r="CZ114" t="e">
        <f>AND(#REF!,"AAAAADfH3Wc=")</f>
        <v>#REF!</v>
      </c>
      <c r="DA114" t="e">
        <f>AND(#REF!,"AAAAADfH3Wg=")</f>
        <v>#REF!</v>
      </c>
      <c r="DB114" t="e">
        <f>AND(#REF!,"AAAAADfH3Wk=")</f>
        <v>#REF!</v>
      </c>
      <c r="DC114" t="e">
        <f>IF(#REF!,"AAAAADfH3Wo=",0)</f>
        <v>#REF!</v>
      </c>
      <c r="DD114" t="e">
        <f>AND(#REF!,"AAAAADfH3Ws=")</f>
        <v>#REF!</v>
      </c>
      <c r="DE114" t="e">
        <f>AND(#REF!,"AAAAADfH3Ww=")</f>
        <v>#REF!</v>
      </c>
      <c r="DF114" t="e">
        <f>AND(#REF!,"AAAAADfH3W0=")</f>
        <v>#REF!</v>
      </c>
      <c r="DG114" t="e">
        <f>AND(#REF!,"AAAAADfH3W4=")</f>
        <v>#REF!</v>
      </c>
      <c r="DH114" t="e">
        <f>AND(#REF!,"AAAAADfH3W8=")</f>
        <v>#REF!</v>
      </c>
      <c r="DI114" t="e">
        <f>AND(#REF!,"AAAAADfH3XA=")</f>
        <v>#REF!</v>
      </c>
      <c r="DJ114" t="e">
        <f>AND(#REF!,"AAAAADfH3XE=")</f>
        <v>#REF!</v>
      </c>
      <c r="DK114" t="e">
        <f>AND(#REF!,"AAAAADfH3XI=")</f>
        <v>#REF!</v>
      </c>
      <c r="DL114" t="e">
        <f>AND(#REF!,"AAAAADfH3XM=")</f>
        <v>#REF!</v>
      </c>
      <c r="DM114" t="e">
        <f>AND(#REF!,"AAAAADfH3XQ=")</f>
        <v>#REF!</v>
      </c>
      <c r="DN114" t="e">
        <f>AND(#REF!,"AAAAADfH3XU=")</f>
        <v>#REF!</v>
      </c>
      <c r="DO114" t="e">
        <f>AND(#REF!,"AAAAADfH3XY=")</f>
        <v>#REF!</v>
      </c>
      <c r="DP114" t="e">
        <f>AND(#REF!,"AAAAADfH3Xc=")</f>
        <v>#REF!</v>
      </c>
      <c r="DQ114" t="e">
        <f>AND(#REF!,"AAAAADfH3Xg=")</f>
        <v>#REF!</v>
      </c>
      <c r="DR114" t="e">
        <f>AND(#REF!,"AAAAADfH3Xk=")</f>
        <v>#REF!</v>
      </c>
      <c r="DS114" t="e">
        <f>AND(#REF!,"AAAAADfH3Xo=")</f>
        <v>#REF!</v>
      </c>
      <c r="DT114" t="e">
        <f>AND(#REF!,"AAAAADfH3Xs=")</f>
        <v>#REF!</v>
      </c>
      <c r="DU114" t="e">
        <f>AND(#REF!,"AAAAADfH3Xw=")</f>
        <v>#REF!</v>
      </c>
      <c r="DV114" t="e">
        <f>AND(#REF!,"AAAAADfH3X0=")</f>
        <v>#REF!</v>
      </c>
      <c r="DW114" t="e">
        <f>AND(#REF!,"AAAAADfH3X4=")</f>
        <v>#REF!</v>
      </c>
      <c r="DX114" t="e">
        <f>AND(#REF!,"AAAAADfH3X8=")</f>
        <v>#REF!</v>
      </c>
      <c r="DY114" t="e">
        <f>AND(#REF!,"AAAAADfH3YA=")</f>
        <v>#REF!</v>
      </c>
      <c r="DZ114" t="e">
        <f>AND(#REF!,"AAAAADfH3YE=")</f>
        <v>#REF!</v>
      </c>
      <c r="EA114" t="e">
        <f>AND(#REF!,"AAAAADfH3YI=")</f>
        <v>#REF!</v>
      </c>
      <c r="EB114" t="e">
        <f>AND(#REF!,"AAAAADfH3YM=")</f>
        <v>#REF!</v>
      </c>
      <c r="EC114" t="e">
        <f>AND(#REF!,"AAAAADfH3YQ=")</f>
        <v>#REF!</v>
      </c>
      <c r="ED114" t="e">
        <f>IF(#REF!,"AAAAADfH3YU=",0)</f>
        <v>#REF!</v>
      </c>
      <c r="EE114" t="e">
        <f>AND(#REF!,"AAAAADfH3YY=")</f>
        <v>#REF!</v>
      </c>
      <c r="EF114" t="e">
        <f>AND(#REF!,"AAAAADfH3Yc=")</f>
        <v>#REF!</v>
      </c>
      <c r="EG114" t="e">
        <f>AND(#REF!,"AAAAADfH3Yg=")</f>
        <v>#REF!</v>
      </c>
      <c r="EH114" t="e">
        <f>AND(#REF!,"AAAAADfH3Yk=")</f>
        <v>#REF!</v>
      </c>
      <c r="EI114" t="e">
        <f>AND(#REF!,"AAAAADfH3Yo=")</f>
        <v>#REF!</v>
      </c>
      <c r="EJ114" t="e">
        <f>AND(#REF!,"AAAAADfH3Ys=")</f>
        <v>#REF!</v>
      </c>
      <c r="EK114" t="e">
        <f>AND(#REF!,"AAAAADfH3Yw=")</f>
        <v>#REF!</v>
      </c>
      <c r="EL114" t="e">
        <f>AND(#REF!,"AAAAADfH3Y0=")</f>
        <v>#REF!</v>
      </c>
      <c r="EM114" t="e">
        <f>AND(#REF!,"AAAAADfH3Y4=")</f>
        <v>#REF!</v>
      </c>
      <c r="EN114" t="e">
        <f>AND(#REF!,"AAAAADfH3Y8=")</f>
        <v>#REF!</v>
      </c>
      <c r="EO114" t="e">
        <f>AND(#REF!,"AAAAADfH3ZA=")</f>
        <v>#REF!</v>
      </c>
      <c r="EP114" t="e">
        <f>AND(#REF!,"AAAAADfH3ZE=")</f>
        <v>#REF!</v>
      </c>
      <c r="EQ114" t="e">
        <f>AND(#REF!,"AAAAADfH3ZI=")</f>
        <v>#REF!</v>
      </c>
      <c r="ER114" t="e">
        <f>AND(#REF!,"AAAAADfH3ZM=")</f>
        <v>#REF!</v>
      </c>
      <c r="ES114" t="e">
        <f>AND(#REF!,"AAAAADfH3ZQ=")</f>
        <v>#REF!</v>
      </c>
      <c r="ET114" t="e">
        <f>AND(#REF!,"AAAAADfH3ZU=")</f>
        <v>#REF!</v>
      </c>
      <c r="EU114" t="e">
        <f>AND(#REF!,"AAAAADfH3ZY=")</f>
        <v>#REF!</v>
      </c>
      <c r="EV114" t="e">
        <f>AND(#REF!,"AAAAADfH3Zc=")</f>
        <v>#REF!</v>
      </c>
      <c r="EW114" t="e">
        <f>AND(#REF!,"AAAAADfH3Zg=")</f>
        <v>#REF!</v>
      </c>
      <c r="EX114" t="e">
        <f>AND(#REF!,"AAAAADfH3Zk=")</f>
        <v>#REF!</v>
      </c>
      <c r="EY114" t="e">
        <f>AND(#REF!,"AAAAADfH3Zo=")</f>
        <v>#REF!</v>
      </c>
      <c r="EZ114" t="e">
        <f>AND(#REF!,"AAAAADfH3Zs=")</f>
        <v>#REF!</v>
      </c>
      <c r="FA114" t="e">
        <f>AND(#REF!,"AAAAADfH3Zw=")</f>
        <v>#REF!</v>
      </c>
      <c r="FB114" t="e">
        <f>AND(#REF!,"AAAAADfH3Z0=")</f>
        <v>#REF!</v>
      </c>
      <c r="FC114" t="e">
        <f>AND(#REF!,"AAAAADfH3Z4=")</f>
        <v>#REF!</v>
      </c>
      <c r="FD114" t="e">
        <f>AND(#REF!,"AAAAADfH3Z8=")</f>
        <v>#REF!</v>
      </c>
      <c r="FE114" t="e">
        <f>IF(#REF!,"AAAAADfH3aA=",0)</f>
        <v>#REF!</v>
      </c>
      <c r="FF114" t="e">
        <f>AND(#REF!,"AAAAADfH3aE=")</f>
        <v>#REF!</v>
      </c>
      <c r="FG114" t="e">
        <f>AND(#REF!,"AAAAADfH3aI=")</f>
        <v>#REF!</v>
      </c>
      <c r="FH114" t="e">
        <f>AND(#REF!,"AAAAADfH3aM=")</f>
        <v>#REF!</v>
      </c>
      <c r="FI114" t="e">
        <f>AND(#REF!,"AAAAADfH3aQ=")</f>
        <v>#REF!</v>
      </c>
      <c r="FJ114" t="e">
        <f>AND(#REF!,"AAAAADfH3aU=")</f>
        <v>#REF!</v>
      </c>
      <c r="FK114" t="e">
        <f>AND(#REF!,"AAAAADfH3aY=")</f>
        <v>#REF!</v>
      </c>
      <c r="FL114" t="e">
        <f>AND(#REF!,"AAAAADfH3ac=")</f>
        <v>#REF!</v>
      </c>
      <c r="FM114" t="e">
        <f>AND(#REF!,"AAAAADfH3ag=")</f>
        <v>#REF!</v>
      </c>
      <c r="FN114" t="e">
        <f>AND(#REF!,"AAAAADfH3ak=")</f>
        <v>#REF!</v>
      </c>
      <c r="FO114" t="e">
        <f>AND(#REF!,"AAAAADfH3ao=")</f>
        <v>#REF!</v>
      </c>
      <c r="FP114" t="e">
        <f>AND(#REF!,"AAAAADfH3as=")</f>
        <v>#REF!</v>
      </c>
      <c r="FQ114" t="e">
        <f>AND(#REF!,"AAAAADfH3aw=")</f>
        <v>#REF!</v>
      </c>
      <c r="FR114" t="e">
        <f>AND(#REF!,"AAAAADfH3a0=")</f>
        <v>#REF!</v>
      </c>
      <c r="FS114" t="e">
        <f>AND(#REF!,"AAAAADfH3a4=")</f>
        <v>#REF!</v>
      </c>
      <c r="FT114" t="e">
        <f>AND(#REF!,"AAAAADfH3a8=")</f>
        <v>#REF!</v>
      </c>
      <c r="FU114" t="e">
        <f>AND(#REF!,"AAAAADfH3bA=")</f>
        <v>#REF!</v>
      </c>
      <c r="FV114" t="e">
        <f>AND(#REF!,"AAAAADfH3bE=")</f>
        <v>#REF!</v>
      </c>
      <c r="FW114" t="e">
        <f>AND(#REF!,"AAAAADfH3bI=")</f>
        <v>#REF!</v>
      </c>
      <c r="FX114" t="e">
        <f>AND(#REF!,"AAAAADfH3bM=")</f>
        <v>#REF!</v>
      </c>
      <c r="FY114" t="e">
        <f>AND(#REF!,"AAAAADfH3bQ=")</f>
        <v>#REF!</v>
      </c>
      <c r="FZ114" t="e">
        <f>AND(#REF!,"AAAAADfH3bU=")</f>
        <v>#REF!</v>
      </c>
      <c r="GA114" t="e">
        <f>AND(#REF!,"AAAAADfH3bY=")</f>
        <v>#REF!</v>
      </c>
      <c r="GB114" t="e">
        <f>AND(#REF!,"AAAAADfH3bc=")</f>
        <v>#REF!</v>
      </c>
      <c r="GC114" t="e">
        <f>AND(#REF!,"AAAAADfH3bg=")</f>
        <v>#REF!</v>
      </c>
      <c r="GD114" t="e">
        <f>AND(#REF!,"AAAAADfH3bk=")</f>
        <v>#REF!</v>
      </c>
      <c r="GE114" t="e">
        <f>AND(#REF!,"AAAAADfH3bo=")</f>
        <v>#REF!</v>
      </c>
      <c r="GF114" t="e">
        <f>IF(#REF!,"AAAAADfH3bs=",0)</f>
        <v>#REF!</v>
      </c>
      <c r="GG114" t="e">
        <f>AND(#REF!,"AAAAADfH3bw=")</f>
        <v>#REF!</v>
      </c>
      <c r="GH114" t="e">
        <f>AND(#REF!,"AAAAADfH3b0=")</f>
        <v>#REF!</v>
      </c>
      <c r="GI114" t="e">
        <f>AND(#REF!,"AAAAADfH3b4=")</f>
        <v>#REF!</v>
      </c>
      <c r="GJ114" t="e">
        <f>AND(#REF!,"AAAAADfH3b8=")</f>
        <v>#REF!</v>
      </c>
      <c r="GK114" t="e">
        <f>AND(#REF!,"AAAAADfH3cA=")</f>
        <v>#REF!</v>
      </c>
      <c r="GL114" t="e">
        <f>AND(#REF!,"AAAAADfH3cE=")</f>
        <v>#REF!</v>
      </c>
      <c r="GM114" t="e">
        <f>AND(#REF!,"AAAAADfH3cI=")</f>
        <v>#REF!</v>
      </c>
      <c r="GN114" t="e">
        <f>AND(#REF!,"AAAAADfH3cM=")</f>
        <v>#REF!</v>
      </c>
      <c r="GO114" t="e">
        <f>AND(#REF!,"AAAAADfH3cQ=")</f>
        <v>#REF!</v>
      </c>
      <c r="GP114" t="e">
        <f>AND(#REF!,"AAAAADfH3cU=")</f>
        <v>#REF!</v>
      </c>
      <c r="GQ114" t="e">
        <f>AND(#REF!,"AAAAADfH3cY=")</f>
        <v>#REF!</v>
      </c>
      <c r="GR114" t="e">
        <f>AND(#REF!,"AAAAADfH3cc=")</f>
        <v>#REF!</v>
      </c>
      <c r="GS114" t="e">
        <f>AND(#REF!,"AAAAADfH3cg=")</f>
        <v>#REF!</v>
      </c>
      <c r="GT114" t="e">
        <f>AND(#REF!,"AAAAADfH3ck=")</f>
        <v>#REF!</v>
      </c>
      <c r="GU114" t="e">
        <f>AND(#REF!,"AAAAADfH3co=")</f>
        <v>#REF!</v>
      </c>
      <c r="GV114" t="e">
        <f>AND(#REF!,"AAAAADfH3cs=")</f>
        <v>#REF!</v>
      </c>
      <c r="GW114" t="e">
        <f>AND(#REF!,"AAAAADfH3cw=")</f>
        <v>#REF!</v>
      </c>
      <c r="GX114" t="e">
        <f>AND(#REF!,"AAAAADfH3c0=")</f>
        <v>#REF!</v>
      </c>
      <c r="GY114" t="e">
        <f>AND(#REF!,"AAAAADfH3c4=")</f>
        <v>#REF!</v>
      </c>
      <c r="GZ114" t="e">
        <f>AND(#REF!,"AAAAADfH3c8=")</f>
        <v>#REF!</v>
      </c>
      <c r="HA114" t="e">
        <f>AND(#REF!,"AAAAADfH3dA=")</f>
        <v>#REF!</v>
      </c>
      <c r="HB114" t="e">
        <f>AND(#REF!,"AAAAADfH3dE=")</f>
        <v>#REF!</v>
      </c>
      <c r="HC114" t="e">
        <f>AND(#REF!,"AAAAADfH3dI=")</f>
        <v>#REF!</v>
      </c>
      <c r="HD114" t="e">
        <f>AND(#REF!,"AAAAADfH3dM=")</f>
        <v>#REF!</v>
      </c>
      <c r="HE114" t="e">
        <f>AND(#REF!,"AAAAADfH3dQ=")</f>
        <v>#REF!</v>
      </c>
      <c r="HF114" t="e">
        <f>AND(#REF!,"AAAAADfH3dU=")</f>
        <v>#REF!</v>
      </c>
      <c r="HG114" t="e">
        <f>IF(#REF!,"AAAAADfH3dY=",0)</f>
        <v>#REF!</v>
      </c>
      <c r="HH114" t="e">
        <f>AND(#REF!,"AAAAADfH3dc=")</f>
        <v>#REF!</v>
      </c>
      <c r="HI114" t="e">
        <f>AND(#REF!,"AAAAADfH3dg=")</f>
        <v>#REF!</v>
      </c>
      <c r="HJ114" t="e">
        <f>AND(#REF!,"AAAAADfH3dk=")</f>
        <v>#REF!</v>
      </c>
      <c r="HK114" t="e">
        <f>AND(#REF!,"AAAAADfH3do=")</f>
        <v>#REF!</v>
      </c>
      <c r="HL114" t="e">
        <f>AND(#REF!,"AAAAADfH3ds=")</f>
        <v>#REF!</v>
      </c>
      <c r="HM114" t="e">
        <f>AND(#REF!,"AAAAADfH3dw=")</f>
        <v>#REF!</v>
      </c>
      <c r="HN114" t="e">
        <f>AND(#REF!,"AAAAADfH3d0=")</f>
        <v>#REF!</v>
      </c>
      <c r="HO114" t="e">
        <f>AND(#REF!,"AAAAADfH3d4=")</f>
        <v>#REF!</v>
      </c>
      <c r="HP114" t="e">
        <f>AND(#REF!,"AAAAADfH3d8=")</f>
        <v>#REF!</v>
      </c>
      <c r="HQ114" t="e">
        <f>AND(#REF!,"AAAAADfH3eA=")</f>
        <v>#REF!</v>
      </c>
      <c r="HR114" t="e">
        <f>AND(#REF!,"AAAAADfH3eE=")</f>
        <v>#REF!</v>
      </c>
      <c r="HS114" t="e">
        <f>AND(#REF!,"AAAAADfH3eI=")</f>
        <v>#REF!</v>
      </c>
      <c r="HT114" t="e">
        <f>AND(#REF!,"AAAAADfH3eM=")</f>
        <v>#REF!</v>
      </c>
      <c r="HU114" t="e">
        <f>AND(#REF!,"AAAAADfH3eQ=")</f>
        <v>#REF!</v>
      </c>
      <c r="HV114" t="e">
        <f>AND(#REF!,"AAAAADfH3eU=")</f>
        <v>#REF!</v>
      </c>
      <c r="HW114" t="e">
        <f>AND(#REF!,"AAAAADfH3eY=")</f>
        <v>#REF!</v>
      </c>
      <c r="HX114" t="e">
        <f>AND(#REF!,"AAAAADfH3ec=")</f>
        <v>#REF!</v>
      </c>
      <c r="HY114" t="e">
        <f>AND(#REF!,"AAAAADfH3eg=")</f>
        <v>#REF!</v>
      </c>
      <c r="HZ114" t="e">
        <f>AND(#REF!,"AAAAADfH3ek=")</f>
        <v>#REF!</v>
      </c>
      <c r="IA114" t="e">
        <f>AND(#REF!,"AAAAADfH3eo=")</f>
        <v>#REF!</v>
      </c>
      <c r="IB114" t="e">
        <f>AND(#REF!,"AAAAADfH3es=")</f>
        <v>#REF!</v>
      </c>
      <c r="IC114" t="e">
        <f>AND(#REF!,"AAAAADfH3ew=")</f>
        <v>#REF!</v>
      </c>
      <c r="ID114" t="e">
        <f>AND(#REF!,"AAAAADfH3e0=")</f>
        <v>#REF!</v>
      </c>
      <c r="IE114" t="e">
        <f>AND(#REF!,"AAAAADfH3e4=")</f>
        <v>#REF!</v>
      </c>
      <c r="IF114" t="e">
        <f>AND(#REF!,"AAAAADfH3e8=")</f>
        <v>#REF!</v>
      </c>
      <c r="IG114" t="e">
        <f>AND(#REF!,"AAAAADfH3fA=")</f>
        <v>#REF!</v>
      </c>
      <c r="IH114" t="e">
        <f>IF(#REF!,"AAAAADfH3fE=",0)</f>
        <v>#REF!</v>
      </c>
      <c r="II114" t="e">
        <f>AND(#REF!,"AAAAADfH3fI=")</f>
        <v>#REF!</v>
      </c>
      <c r="IJ114" t="e">
        <f>AND(#REF!,"AAAAADfH3fM=")</f>
        <v>#REF!</v>
      </c>
      <c r="IK114" t="e">
        <f>AND(#REF!,"AAAAADfH3fQ=")</f>
        <v>#REF!</v>
      </c>
      <c r="IL114" t="e">
        <f>AND(#REF!,"AAAAADfH3fU=")</f>
        <v>#REF!</v>
      </c>
      <c r="IM114" t="e">
        <f>AND(#REF!,"AAAAADfH3fY=")</f>
        <v>#REF!</v>
      </c>
      <c r="IN114" t="e">
        <f>AND(#REF!,"AAAAADfH3fc=")</f>
        <v>#REF!</v>
      </c>
      <c r="IO114" t="e">
        <f>AND(#REF!,"AAAAADfH3fg=")</f>
        <v>#REF!</v>
      </c>
      <c r="IP114" t="e">
        <f>AND(#REF!,"AAAAADfH3fk=")</f>
        <v>#REF!</v>
      </c>
      <c r="IQ114" t="e">
        <f>AND(#REF!,"AAAAADfH3fo=")</f>
        <v>#REF!</v>
      </c>
      <c r="IR114" t="e">
        <f>AND(#REF!,"AAAAADfH3fs=")</f>
        <v>#REF!</v>
      </c>
      <c r="IS114" t="e">
        <f>AND(#REF!,"AAAAADfH3fw=")</f>
        <v>#REF!</v>
      </c>
      <c r="IT114" t="e">
        <f>AND(#REF!,"AAAAADfH3f0=")</f>
        <v>#REF!</v>
      </c>
      <c r="IU114" t="e">
        <f>AND(#REF!,"AAAAADfH3f4=")</f>
        <v>#REF!</v>
      </c>
      <c r="IV114" t="e">
        <f>AND(#REF!,"AAAAADfH3f8=")</f>
        <v>#REF!</v>
      </c>
    </row>
    <row r="115" spans="1:256" ht="16" x14ac:dyDescent="0.2">
      <c r="A115" t="e">
        <f>AND(#REF!,"AAAAAF9/zgA=")</f>
        <v>#REF!</v>
      </c>
      <c r="B115" t="e">
        <f>AND(#REF!,"AAAAAF9/zgE=")</f>
        <v>#REF!</v>
      </c>
      <c r="C115" t="e">
        <f>AND(#REF!,"AAAAAF9/zgI=")</f>
        <v>#REF!</v>
      </c>
      <c r="D115" t="e">
        <f>AND(#REF!,"AAAAAF9/zgM=")</f>
        <v>#REF!</v>
      </c>
      <c r="E115" t="e">
        <f>AND(#REF!,"AAAAAF9/zgQ=")</f>
        <v>#REF!</v>
      </c>
      <c r="F115" t="e">
        <f>AND(#REF!,"AAAAAF9/zgU=")</f>
        <v>#REF!</v>
      </c>
      <c r="G115" t="e">
        <f>AND(#REF!,"AAAAAF9/zgY=")</f>
        <v>#REF!</v>
      </c>
      <c r="H115" t="e">
        <f>AND(#REF!,"AAAAAF9/zgc=")</f>
        <v>#REF!</v>
      </c>
      <c r="I115" t="e">
        <f>AND(#REF!,"AAAAAF9/zgg=")</f>
        <v>#REF!</v>
      </c>
      <c r="J115" t="e">
        <f>AND(#REF!,"AAAAAF9/zgk=")</f>
        <v>#REF!</v>
      </c>
      <c r="K115" t="e">
        <f>AND(#REF!,"AAAAAF9/zgo=")</f>
        <v>#REF!</v>
      </c>
      <c r="L115" t="e">
        <f>AND(#REF!,"AAAAAF9/zgs=")</f>
        <v>#REF!</v>
      </c>
      <c r="M115" t="e">
        <f>IF(#REF!,"AAAAAF9/zgw=",0)</f>
        <v>#REF!</v>
      </c>
      <c r="N115" t="e">
        <f>AND(#REF!,"AAAAAF9/zg0=")</f>
        <v>#REF!</v>
      </c>
      <c r="O115" t="e">
        <f>AND(#REF!,"AAAAAF9/zg4=")</f>
        <v>#REF!</v>
      </c>
      <c r="P115" t="e">
        <f>AND(#REF!,"AAAAAF9/zg8=")</f>
        <v>#REF!</v>
      </c>
      <c r="Q115" t="e">
        <f>AND(#REF!,"AAAAAF9/zhA=")</f>
        <v>#REF!</v>
      </c>
      <c r="R115" t="e">
        <f>AND(#REF!,"AAAAAF9/zhE=")</f>
        <v>#REF!</v>
      </c>
      <c r="S115" t="e">
        <f>AND(#REF!,"AAAAAF9/zhI=")</f>
        <v>#REF!</v>
      </c>
      <c r="T115" t="e">
        <f>AND(#REF!,"AAAAAF9/zhM=")</f>
        <v>#REF!</v>
      </c>
      <c r="U115" t="e">
        <f>AND(#REF!,"AAAAAF9/zhQ=")</f>
        <v>#REF!</v>
      </c>
      <c r="V115" t="e">
        <f>AND(#REF!,"AAAAAF9/zhU=")</f>
        <v>#REF!</v>
      </c>
      <c r="W115" t="e">
        <f>AND(#REF!,"AAAAAF9/zhY=")</f>
        <v>#REF!</v>
      </c>
      <c r="X115" t="e">
        <f>AND(#REF!,"AAAAAF9/zhc=")</f>
        <v>#REF!</v>
      </c>
      <c r="Y115" t="e">
        <f>AND(#REF!,"AAAAAF9/zhg=")</f>
        <v>#REF!</v>
      </c>
      <c r="Z115" t="e">
        <f>AND(#REF!,"AAAAAF9/zhk=")</f>
        <v>#REF!</v>
      </c>
      <c r="AA115" t="e">
        <f>AND(#REF!,"AAAAAF9/zho=")</f>
        <v>#REF!</v>
      </c>
      <c r="AB115" t="e">
        <f>AND(#REF!,"AAAAAF9/zhs=")</f>
        <v>#REF!</v>
      </c>
      <c r="AC115" t="e">
        <f>AND(#REF!,"AAAAAF9/zhw=")</f>
        <v>#REF!</v>
      </c>
      <c r="AD115" t="e">
        <f>AND(#REF!,"AAAAAF9/zh0=")</f>
        <v>#REF!</v>
      </c>
      <c r="AE115" t="e">
        <f>AND(#REF!,"AAAAAF9/zh4=")</f>
        <v>#REF!</v>
      </c>
      <c r="AF115" t="e">
        <f>AND(#REF!,"AAAAAF9/zh8=")</f>
        <v>#REF!</v>
      </c>
      <c r="AG115" t="e">
        <f>AND(#REF!,"AAAAAF9/ziA=")</f>
        <v>#REF!</v>
      </c>
      <c r="AH115" t="e">
        <f>AND(#REF!,"AAAAAF9/ziE=")</f>
        <v>#REF!</v>
      </c>
      <c r="AI115" t="e">
        <f>AND(#REF!,"AAAAAF9/ziI=")</f>
        <v>#REF!</v>
      </c>
      <c r="AJ115" t="e">
        <f>AND(#REF!,"AAAAAF9/ziM=")</f>
        <v>#REF!</v>
      </c>
      <c r="AK115" t="e">
        <f>AND(#REF!,"AAAAAF9/ziQ=")</f>
        <v>#REF!</v>
      </c>
      <c r="AL115" t="e">
        <f>AND(#REF!,"AAAAAF9/ziU=")</f>
        <v>#REF!</v>
      </c>
      <c r="AM115" t="e">
        <f>AND(#REF!,"AAAAAF9/ziY=")</f>
        <v>#REF!</v>
      </c>
      <c r="AN115" t="e">
        <f>IF(#REF!,"AAAAAF9/zic=",0)</f>
        <v>#REF!</v>
      </c>
      <c r="AO115" t="e">
        <f>AND(#REF!,"AAAAAF9/zig=")</f>
        <v>#REF!</v>
      </c>
      <c r="AP115" t="e">
        <f>AND(#REF!,"AAAAAF9/zik=")</f>
        <v>#REF!</v>
      </c>
      <c r="AQ115" t="e">
        <f>AND(#REF!,"AAAAAF9/zio=")</f>
        <v>#REF!</v>
      </c>
      <c r="AR115" t="e">
        <f>AND(#REF!,"AAAAAF9/zis=")</f>
        <v>#REF!</v>
      </c>
      <c r="AS115" t="e">
        <f>AND(#REF!,"AAAAAF9/ziw=")</f>
        <v>#REF!</v>
      </c>
      <c r="AT115" t="e">
        <f>AND(#REF!,"AAAAAF9/zi0=")</f>
        <v>#REF!</v>
      </c>
      <c r="AU115" t="e">
        <f>AND(#REF!,"AAAAAF9/zi4=")</f>
        <v>#REF!</v>
      </c>
      <c r="AV115" t="e">
        <f>AND(#REF!,"AAAAAF9/zi8=")</f>
        <v>#REF!</v>
      </c>
      <c r="AW115" t="e">
        <f>AND(#REF!,"AAAAAF9/zjA=")</f>
        <v>#REF!</v>
      </c>
      <c r="AX115" t="e">
        <f>AND(#REF!,"AAAAAF9/zjE=")</f>
        <v>#REF!</v>
      </c>
      <c r="AY115" t="e">
        <f>AND(#REF!,"AAAAAF9/zjI=")</f>
        <v>#REF!</v>
      </c>
      <c r="AZ115" t="e">
        <f>AND(#REF!,"AAAAAF9/zjM=")</f>
        <v>#REF!</v>
      </c>
      <c r="BA115" t="e">
        <f>AND(#REF!,"AAAAAF9/zjQ=")</f>
        <v>#REF!</v>
      </c>
      <c r="BB115" t="e">
        <f>AND(#REF!,"AAAAAF9/zjU=")</f>
        <v>#REF!</v>
      </c>
      <c r="BC115" t="e">
        <f>AND(#REF!,"AAAAAF9/zjY=")</f>
        <v>#REF!</v>
      </c>
      <c r="BD115" t="e">
        <f>AND(#REF!,"AAAAAF9/zjc=")</f>
        <v>#REF!</v>
      </c>
      <c r="BE115" t="e">
        <f>AND(#REF!,"AAAAAF9/zjg=")</f>
        <v>#REF!</v>
      </c>
      <c r="BF115" t="e">
        <f>AND(#REF!,"AAAAAF9/zjk=")</f>
        <v>#REF!</v>
      </c>
      <c r="BG115" t="e">
        <f>AND(#REF!,"AAAAAF9/zjo=")</f>
        <v>#REF!</v>
      </c>
      <c r="BH115" t="e">
        <f>AND(#REF!,"AAAAAF9/zjs=")</f>
        <v>#REF!</v>
      </c>
      <c r="BI115" t="e">
        <f>AND(#REF!,"AAAAAF9/zjw=")</f>
        <v>#REF!</v>
      </c>
      <c r="BJ115" t="e">
        <f>AND(#REF!,"AAAAAF9/zj0=")</f>
        <v>#REF!</v>
      </c>
      <c r="BK115" t="e">
        <f>AND(#REF!,"AAAAAF9/zj4=")</f>
        <v>#REF!</v>
      </c>
      <c r="BL115" t="e">
        <f>AND(#REF!,"AAAAAF9/zj8=")</f>
        <v>#REF!</v>
      </c>
      <c r="BM115" t="e">
        <f>AND(#REF!,"AAAAAF9/zkA=")</f>
        <v>#REF!</v>
      </c>
      <c r="BN115" t="e">
        <f>AND(#REF!,"AAAAAF9/zkE=")</f>
        <v>#REF!</v>
      </c>
      <c r="BO115" t="e">
        <f>IF(#REF!,"AAAAAF9/zkI=",0)</f>
        <v>#REF!</v>
      </c>
      <c r="BP115" t="e">
        <f>AND(#REF!,"AAAAAF9/zkM=")</f>
        <v>#REF!</v>
      </c>
      <c r="BQ115" t="e">
        <f>AND(#REF!,"AAAAAF9/zkQ=")</f>
        <v>#REF!</v>
      </c>
      <c r="BR115" t="e">
        <f>AND(#REF!,"AAAAAF9/zkU=")</f>
        <v>#REF!</v>
      </c>
      <c r="BS115" t="e">
        <f>AND(#REF!,"AAAAAF9/zkY=")</f>
        <v>#REF!</v>
      </c>
      <c r="BT115" t="e">
        <f>AND(#REF!,"AAAAAF9/zkc=")</f>
        <v>#REF!</v>
      </c>
      <c r="BU115" t="e">
        <f>AND(#REF!,"AAAAAF9/zkg=")</f>
        <v>#REF!</v>
      </c>
      <c r="BV115" t="e">
        <f>AND(#REF!,"AAAAAF9/zkk=")</f>
        <v>#REF!</v>
      </c>
      <c r="BW115" t="e">
        <f>AND(#REF!,"AAAAAF9/zko=")</f>
        <v>#REF!</v>
      </c>
      <c r="BX115" t="e">
        <f>AND(#REF!,"AAAAAF9/zks=")</f>
        <v>#REF!</v>
      </c>
      <c r="BY115" t="e">
        <f>AND(#REF!,"AAAAAF9/zkw=")</f>
        <v>#REF!</v>
      </c>
      <c r="BZ115" t="e">
        <f>AND(#REF!,"AAAAAF9/zk0=")</f>
        <v>#REF!</v>
      </c>
      <c r="CA115" t="e">
        <f>AND(#REF!,"AAAAAF9/zk4=")</f>
        <v>#REF!</v>
      </c>
      <c r="CB115" t="e">
        <f>AND(#REF!,"AAAAAF9/zk8=")</f>
        <v>#REF!</v>
      </c>
      <c r="CC115" t="e">
        <f>AND(#REF!,"AAAAAF9/zlA=")</f>
        <v>#REF!</v>
      </c>
      <c r="CD115" t="e">
        <f>AND(#REF!,"AAAAAF9/zlE=")</f>
        <v>#REF!</v>
      </c>
      <c r="CE115" t="e">
        <f>AND(#REF!,"AAAAAF9/zlI=")</f>
        <v>#REF!</v>
      </c>
      <c r="CF115" t="e">
        <f>AND(#REF!,"AAAAAF9/zlM=")</f>
        <v>#REF!</v>
      </c>
      <c r="CG115" t="e">
        <f>AND(#REF!,"AAAAAF9/zlQ=")</f>
        <v>#REF!</v>
      </c>
      <c r="CH115" t="e">
        <f>AND(#REF!,"AAAAAF9/zlU=")</f>
        <v>#REF!</v>
      </c>
      <c r="CI115" t="e">
        <f>AND(#REF!,"AAAAAF9/zlY=")</f>
        <v>#REF!</v>
      </c>
      <c r="CJ115" t="e">
        <f>AND(#REF!,"AAAAAF9/zlc=")</f>
        <v>#REF!</v>
      </c>
      <c r="CK115" t="e">
        <f>AND(#REF!,"AAAAAF9/zlg=")</f>
        <v>#REF!</v>
      </c>
      <c r="CL115" t="e">
        <f>AND(#REF!,"AAAAAF9/zlk=")</f>
        <v>#REF!</v>
      </c>
      <c r="CM115" t="e">
        <f>AND(#REF!,"AAAAAF9/zlo=")</f>
        <v>#REF!</v>
      </c>
      <c r="CN115" t="e">
        <f>AND(#REF!,"AAAAAF9/zls=")</f>
        <v>#REF!</v>
      </c>
      <c r="CO115" t="e">
        <f>AND(#REF!,"AAAAAF9/zlw=")</f>
        <v>#REF!</v>
      </c>
      <c r="CP115" t="e">
        <f>IF(#REF!,"AAAAAF9/zl0=",0)</f>
        <v>#REF!</v>
      </c>
      <c r="CQ115" t="e">
        <f>AND(#REF!,"AAAAAF9/zl4=")</f>
        <v>#REF!</v>
      </c>
      <c r="CR115" t="e">
        <f>AND(#REF!,"AAAAAF9/zl8=")</f>
        <v>#REF!</v>
      </c>
      <c r="CS115" t="e">
        <f>AND(#REF!,"AAAAAF9/zmA=")</f>
        <v>#REF!</v>
      </c>
      <c r="CT115" t="e">
        <f>AND(#REF!,"AAAAAF9/zmE=")</f>
        <v>#REF!</v>
      </c>
      <c r="CU115" t="e">
        <f>AND(#REF!,"AAAAAF9/zmI=")</f>
        <v>#REF!</v>
      </c>
      <c r="CV115" t="e">
        <f>AND(#REF!,"AAAAAF9/zmM=")</f>
        <v>#REF!</v>
      </c>
      <c r="CW115" t="e">
        <f>AND(#REF!,"AAAAAF9/zmQ=")</f>
        <v>#REF!</v>
      </c>
      <c r="CX115" t="e">
        <f>AND(#REF!,"AAAAAF9/zmU=")</f>
        <v>#REF!</v>
      </c>
      <c r="CY115" t="e">
        <f>AND(#REF!,"AAAAAF9/zmY=")</f>
        <v>#REF!</v>
      </c>
      <c r="CZ115" t="e">
        <f>AND(#REF!,"AAAAAF9/zmc=")</f>
        <v>#REF!</v>
      </c>
      <c r="DA115" t="e">
        <f>AND(#REF!,"AAAAAF9/zmg=")</f>
        <v>#REF!</v>
      </c>
      <c r="DB115" t="e">
        <f>AND(#REF!,"AAAAAF9/zmk=")</f>
        <v>#REF!</v>
      </c>
      <c r="DC115" t="e">
        <f>AND(#REF!,"AAAAAF9/zmo=")</f>
        <v>#REF!</v>
      </c>
      <c r="DD115" t="e">
        <f>AND(#REF!,"AAAAAF9/zms=")</f>
        <v>#REF!</v>
      </c>
      <c r="DE115" t="e">
        <f>AND(#REF!,"AAAAAF9/zmw=")</f>
        <v>#REF!</v>
      </c>
      <c r="DF115" t="e">
        <f>AND(#REF!,"AAAAAF9/zm0=")</f>
        <v>#REF!</v>
      </c>
      <c r="DG115" t="e">
        <f>AND(#REF!,"AAAAAF9/zm4=")</f>
        <v>#REF!</v>
      </c>
      <c r="DH115" t="e">
        <f>AND(#REF!,"AAAAAF9/zm8=")</f>
        <v>#REF!</v>
      </c>
      <c r="DI115" t="e">
        <f>AND(#REF!,"AAAAAF9/znA=")</f>
        <v>#REF!</v>
      </c>
      <c r="DJ115" t="e">
        <f>AND(#REF!,"AAAAAF9/znE=")</f>
        <v>#REF!</v>
      </c>
      <c r="DK115" t="e">
        <f>AND(#REF!,"AAAAAF9/znI=")</f>
        <v>#REF!</v>
      </c>
      <c r="DL115" t="e">
        <f>AND(#REF!,"AAAAAF9/znM=")</f>
        <v>#REF!</v>
      </c>
      <c r="DM115" t="e">
        <f>AND(#REF!,"AAAAAF9/znQ=")</f>
        <v>#REF!</v>
      </c>
      <c r="DN115" t="e">
        <f>AND(#REF!,"AAAAAF9/znU=")</f>
        <v>#REF!</v>
      </c>
      <c r="DO115" t="e">
        <f>AND(#REF!,"AAAAAF9/znY=")</f>
        <v>#REF!</v>
      </c>
      <c r="DP115" t="e">
        <f>AND(#REF!,"AAAAAF9/znc=")</f>
        <v>#REF!</v>
      </c>
      <c r="DQ115" t="e">
        <f>IF(#REF!,"AAAAAF9/zng=",0)</f>
        <v>#REF!</v>
      </c>
      <c r="DR115" t="e">
        <f>AND(#REF!,"AAAAAF9/znk=")</f>
        <v>#REF!</v>
      </c>
      <c r="DS115" t="e">
        <f>AND(#REF!,"AAAAAF9/zno=")</f>
        <v>#REF!</v>
      </c>
      <c r="DT115" t="e">
        <f>AND(#REF!,"AAAAAF9/zns=")</f>
        <v>#REF!</v>
      </c>
      <c r="DU115" t="e">
        <f>AND(#REF!,"AAAAAF9/znw=")</f>
        <v>#REF!</v>
      </c>
      <c r="DV115" t="e">
        <f>AND(#REF!,"AAAAAF9/zn0=")</f>
        <v>#REF!</v>
      </c>
      <c r="DW115" t="e">
        <f>AND(#REF!,"AAAAAF9/zn4=")</f>
        <v>#REF!</v>
      </c>
      <c r="DX115" t="e">
        <f>AND(#REF!,"AAAAAF9/zn8=")</f>
        <v>#REF!</v>
      </c>
      <c r="DY115" t="e">
        <f>AND(#REF!,"AAAAAF9/zoA=")</f>
        <v>#REF!</v>
      </c>
      <c r="DZ115" t="e">
        <f>AND(#REF!,"AAAAAF9/zoE=")</f>
        <v>#REF!</v>
      </c>
      <c r="EA115" t="e">
        <f>AND(#REF!,"AAAAAF9/zoI=")</f>
        <v>#REF!</v>
      </c>
      <c r="EB115" t="e">
        <f>AND(#REF!,"AAAAAF9/zoM=")</f>
        <v>#REF!</v>
      </c>
      <c r="EC115" t="e">
        <f>AND(#REF!,"AAAAAF9/zoQ=")</f>
        <v>#REF!</v>
      </c>
      <c r="ED115" t="e">
        <f>AND(#REF!,"AAAAAF9/zoU=")</f>
        <v>#REF!</v>
      </c>
      <c r="EE115" t="e">
        <f>AND(#REF!,"AAAAAF9/zoY=")</f>
        <v>#REF!</v>
      </c>
      <c r="EF115" t="e">
        <f>AND(#REF!,"AAAAAF9/zoc=")</f>
        <v>#REF!</v>
      </c>
      <c r="EG115" t="e">
        <f>AND(#REF!,"AAAAAF9/zog=")</f>
        <v>#REF!</v>
      </c>
      <c r="EH115" t="e">
        <f>AND(#REF!,"AAAAAF9/zok=")</f>
        <v>#REF!</v>
      </c>
      <c r="EI115" t="e">
        <f>AND(#REF!,"AAAAAF9/zoo=")</f>
        <v>#REF!</v>
      </c>
      <c r="EJ115" t="e">
        <f>AND(#REF!,"AAAAAF9/zos=")</f>
        <v>#REF!</v>
      </c>
      <c r="EK115" t="e">
        <f>AND(#REF!,"AAAAAF9/zow=")</f>
        <v>#REF!</v>
      </c>
      <c r="EL115" t="e">
        <f>AND(#REF!,"AAAAAF9/zo0=")</f>
        <v>#REF!</v>
      </c>
      <c r="EM115" t="e">
        <f>AND(#REF!,"AAAAAF9/zo4=")</f>
        <v>#REF!</v>
      </c>
      <c r="EN115" t="e">
        <f>AND(#REF!,"AAAAAF9/zo8=")</f>
        <v>#REF!</v>
      </c>
      <c r="EO115" t="e">
        <f>AND(#REF!,"AAAAAF9/zpA=")</f>
        <v>#REF!</v>
      </c>
      <c r="EP115" t="e">
        <f>AND(#REF!,"AAAAAF9/zpE=")</f>
        <v>#REF!</v>
      </c>
      <c r="EQ115" t="e">
        <f>AND(#REF!,"AAAAAF9/zpI=")</f>
        <v>#REF!</v>
      </c>
      <c r="ER115" t="e">
        <f>IF(#REF!,"AAAAAF9/zpM=",0)</f>
        <v>#REF!</v>
      </c>
      <c r="ES115" t="e">
        <f>IF(#REF!,"AAAAAF9/zpQ=",0)</f>
        <v>#REF!</v>
      </c>
      <c r="ET115" t="e">
        <f>IF(#REF!,"AAAAAF9/zpU=",0)</f>
        <v>#REF!</v>
      </c>
      <c r="EU115" t="e">
        <f>IF(#REF!,"AAAAAF9/zpY=",0)</f>
        <v>#REF!</v>
      </c>
      <c r="EV115" t="e">
        <f>IF(#REF!,"AAAAAF9/zpc=",0)</f>
        <v>#REF!</v>
      </c>
      <c r="EW115" t="e">
        <f>IF(#REF!,"AAAAAF9/zpg=",0)</f>
        <v>#REF!</v>
      </c>
      <c r="EX115" t="e">
        <f>IF(#REF!,"AAAAAF9/zpk=",0)</f>
        <v>#REF!</v>
      </c>
      <c r="EY115" t="e">
        <f>IF(#REF!,"AAAAAF9/zpo=",0)</f>
        <v>#REF!</v>
      </c>
      <c r="EZ115" t="e">
        <f>IF(#REF!,"AAAAAF9/zps=",0)</f>
        <v>#REF!</v>
      </c>
      <c r="FA115" t="e">
        <f>IF(#REF!,"AAAAAF9/zpw=",0)</f>
        <v>#REF!</v>
      </c>
      <c r="FB115" t="e">
        <f>IF(#REF!,"AAAAAF9/zp0=",0)</f>
        <v>#REF!</v>
      </c>
      <c r="FC115" t="e">
        <f>IF(#REF!,"AAAAAF9/zp4=",0)</f>
        <v>#REF!</v>
      </c>
      <c r="FD115" t="e">
        <f>IF(#REF!,"AAAAAF9/zp8=",0)</f>
        <v>#REF!</v>
      </c>
      <c r="FE115" t="e">
        <f>IF(#REF!,"AAAAAF9/zqA=",0)</f>
        <v>#REF!</v>
      </c>
      <c r="FF115" t="e">
        <f>IF(#REF!,"AAAAAF9/zqE=",0)</f>
        <v>#REF!</v>
      </c>
      <c r="FG115" t="e">
        <f>IF(#REF!,"AAAAAF9/zqI=",0)</f>
        <v>#REF!</v>
      </c>
      <c r="FH115" t="e">
        <f>IF(#REF!,"AAAAAF9/zqM=",0)</f>
        <v>#REF!</v>
      </c>
      <c r="FI115" t="e">
        <f>IF(#REF!,"AAAAAF9/zqQ=",0)</f>
        <v>#REF!</v>
      </c>
      <c r="FJ115" t="e">
        <f>IF(#REF!,"AAAAAF9/zqU=",0)</f>
        <v>#REF!</v>
      </c>
      <c r="FK115" t="e">
        <f>IF(#REF!,"AAAAAF9/zqY=",0)</f>
        <v>#REF!</v>
      </c>
      <c r="FL115" t="e">
        <f>IF(#REF!,"AAAAAF9/zqc=",0)</f>
        <v>#REF!</v>
      </c>
      <c r="FM115" t="e">
        <f>IF(#REF!,"AAAAAF9/zqg=",0)</f>
        <v>#REF!</v>
      </c>
      <c r="FN115" t="e">
        <f>IF(#REF!,"AAAAAF9/zqk=",0)</f>
        <v>#REF!</v>
      </c>
      <c r="FO115" t="e">
        <f>IF(#REF!,"AAAAAF9/zqo=",0)</f>
        <v>#REF!</v>
      </c>
      <c r="FP115" t="e">
        <f>IF(#REF!,"AAAAAF9/zqs=",0)</f>
        <v>#REF!</v>
      </c>
      <c r="FQ115" t="e">
        <f>IF(#REF!,"AAAAAF9/zqw=",0)</f>
        <v>#REF!</v>
      </c>
      <c r="FR115" s="1" t="s">
        <v>28</v>
      </c>
      <c r="FS115" s="2" t="s">
        <v>29</v>
      </c>
      <c r="FT115" t="s">
        <v>30</v>
      </c>
      <c r="FU115" s="3" t="s">
        <v>31</v>
      </c>
      <c r="FV115" s="4" t="s">
        <v>32</v>
      </c>
      <c r="FW115" s="5" t="s">
        <v>33</v>
      </c>
      <c r="FX115" t="e">
        <f>IF("N",[0]!_xlnm.Print_Area,"AAAAAF9/zrM=")</f>
        <v>#VALUE!</v>
      </c>
      <c r="FY115" t="e">
        <f>IF("N",[0]!_xlnm.Print_Area,"AAAAAF9/zrQ=")</f>
        <v>#VALUE!</v>
      </c>
      <c r="FZ115" t="e">
        <f>IF("N",[0]!_xlnm.Print_Area,"AAAAAF9/zrU=")</f>
        <v>#VALUE!</v>
      </c>
      <c r="GA115" t="e">
        <f>IF("N",[0]!_xlnm.Print_Area,"AAAAAF9/zrY=")</f>
        <v>#VALUE!</v>
      </c>
      <c r="GB115" t="e">
        <f>IF("N",[0]!_xlnm.Print_Area,"AAAAAF9/zrc=")</f>
        <v>#VALUE!</v>
      </c>
      <c r="GC115" t="e">
        <f>IF("N",[0]!_xlnm.Print_Area,"AAAAAF9/zrg=")</f>
        <v>#VALUE!</v>
      </c>
      <c r="GD115" t="e">
        <f>IF("N",[0]!_xlnm.Print_Area,"AAAAAF9/zrk=")</f>
        <v>#VALUE!</v>
      </c>
      <c r="GE115" t="e">
        <f>IF("N",[0]!_xlnm.Print_Area,"AAAAAF9/zro=")</f>
        <v>#VALUE!</v>
      </c>
      <c r="GF115" t="e">
        <f>IF("N",[0]!_xlnm.Print_Area,"AAAAAF9/zrs=")</f>
        <v>#VALUE!</v>
      </c>
      <c r="GG115" t="e">
        <f>IF("N",[0]!_xlnm.Print_Area,"AAAAAF9/zrw=")</f>
        <v>#VALUE!</v>
      </c>
      <c r="GH115" t="e">
        <f>IF("N",[0]!_xlnm.Print_Area,"AAAAAF9/zr0=")</f>
        <v>#VALUE!</v>
      </c>
      <c r="GI115" t="e">
        <f>IF("N",[0]!_xlnm.Print_Area,"AAAAAF9/zr4=")</f>
        <v>#VALUE!</v>
      </c>
      <c r="GJ115" t="e">
        <f>IF("N",[0]!_xlnm.Print_Area,"AAAAAF9/zr8=")</f>
        <v>#VALUE!</v>
      </c>
      <c r="GK115" t="e">
        <f>IF("N",[0]!_xlnm.Print_Area,"AAAAAF9/zsA=")</f>
        <v>#VALUE!</v>
      </c>
      <c r="GL115" t="e">
        <f>IF("N",[0]!_xlnm.Print_Area,"AAAAAF9/zsE=")</f>
        <v>#VALUE!</v>
      </c>
      <c r="GM115" t="e">
        <f>IF("N",[0]!_xlnm.Print_Area,"AAAAAF9/zsI=")</f>
        <v>#VALUE!</v>
      </c>
      <c r="GN115" t="e">
        <f>IF("N",[0]!_xlnm.Print_Area,"AAAAAF9/zsM=")</f>
        <v>#VALUE!</v>
      </c>
      <c r="GO115" t="e">
        <f>IF("N",[0]!_xlnm.Print_Area,"AAAAAF9/zsQ=")</f>
        <v>#VALUE!</v>
      </c>
      <c r="GP115" t="e">
        <f>IF("N",[0]!_xlnm.Print_Area,"AAAAAF9/zsU=")</f>
        <v>#VALUE!</v>
      </c>
      <c r="GQ115" t="e">
        <f>IF("N",[0]!_xlnm.Print_Area,"AAAAAF9/zsY=")</f>
        <v>#VALUE!</v>
      </c>
      <c r="GR115" t="e">
        <f>IF("N",[0]!_xlnm.Print_Area,"AAAAAF9/zsc=")</f>
        <v>#VALUE!</v>
      </c>
      <c r="GS115" t="e">
        <f>IF("N",_xlnm.Print_Area,"AAAAAF9/zsg=")</f>
        <v>#VALUE!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27,2018</vt:lpstr>
      <vt:lpstr>'May 27,2018'!Print_Area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Ellen Rohr</cp:lastModifiedBy>
  <cp:lastPrinted>2016-09-24T18:26:56Z</cp:lastPrinted>
  <dcterms:created xsi:type="dcterms:W3CDTF">2011-12-30T16:28:55Z</dcterms:created>
  <dcterms:modified xsi:type="dcterms:W3CDTF">2018-03-21T12:20:06Z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1C2ak63L0xp_n20Oa-oABF4qg23nqUJXDlsky0TovinA</vt:lpwstr>
  </property>
  <property fmtid="{D5CDD505-2E9C-101B-9397-08002B2CF9AE}" pid="4" name="Google.Documents.RevisionId">
    <vt:lpwstr>16578885538962860939</vt:lpwstr>
  </property>
  <property fmtid="{D5CDD505-2E9C-101B-9397-08002B2CF9AE}" pid="5" name="Google.Documents.PreviousRevisionId">
    <vt:lpwstr>05716944712911980066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